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C:\Users\jackh\Dropbox\CR\2025 Job Search - Website\"/>
    </mc:Choice>
  </mc:AlternateContent>
  <xr:revisionPtr revIDLastSave="0" documentId="13_ncr:1_{6174DF98-1456-4EA4-9EE4-D583AEDD0DF7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Presentation &gt;" sheetId="10" r:id="rId1"/>
    <sheet name="Summary" sheetId="12" r:id="rId2"/>
    <sheet name="Pro Forma" sheetId="1" r:id="rId3"/>
    <sheet name="Graphs" sheetId="11" r:id="rId4"/>
    <sheet name="Model &gt;" sheetId="9" r:id="rId5"/>
    <sheet name="Model" sheetId="2" r:id="rId6"/>
  </sheets>
  <definedNames>
    <definedName name="_xlnm.Print_Area" localSheetId="3">Graphs!$A$1:$AC$92</definedName>
    <definedName name="_xlnm.Print_Area" localSheetId="2">'Pro Forma'!$A$1:$X$71</definedName>
    <definedName name="_xlnm.Print_Area" localSheetId="1">Summary!$A$1:$V$60</definedName>
    <definedName name="_xlnm.Print_Titles" localSheetId="5">Model!$1:$2</definedName>
  </definedNames>
  <calcPr calcId="191029" calcMode="manual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8" i="2" l="1"/>
  <c r="G22" i="2" l="1"/>
  <c r="J412" i="2" l="1"/>
  <c r="I412" i="2"/>
  <c r="G21" i="2"/>
  <c r="G20" i="2"/>
  <c r="B2" i="1" l="1"/>
  <c r="B2" i="12" l="1"/>
  <c r="S52" i="1" l="1"/>
  <c r="H39" i="12" l="1"/>
  <c r="H40" i="12"/>
  <c r="H38" i="12"/>
  <c r="F39" i="12"/>
  <c r="F40" i="12"/>
  <c r="F38" i="12"/>
  <c r="G36" i="12"/>
  <c r="AD685" i="2"/>
  <c r="AD666" i="2"/>
  <c r="AD647" i="2"/>
  <c r="AD636" i="2"/>
  <c r="AB722" i="2"/>
  <c r="AB634" i="2"/>
  <c r="AB703" i="2"/>
  <c r="AB704" i="2"/>
  <c r="I194" i="2"/>
  <c r="I184" i="2"/>
  <c r="AB683" i="2"/>
  <c r="AB664" i="2"/>
  <c r="AB645" i="2"/>
  <c r="G609" i="2"/>
  <c r="AC685" i="2" s="1"/>
  <c r="G610" i="2"/>
  <c r="F36" i="12" l="1"/>
  <c r="AC636" i="2"/>
  <c r="AC666" i="2"/>
  <c r="AC647" i="2"/>
  <c r="G39" i="12"/>
  <c r="G40" i="12"/>
  <c r="G38" i="12"/>
  <c r="J38" i="12"/>
  <c r="J39" i="12"/>
  <c r="J40" i="12"/>
  <c r="I39" i="12"/>
  <c r="I40" i="12"/>
  <c r="I38" i="12"/>
  <c r="T66" i="12"/>
  <c r="AD756" i="2"/>
  <c r="AE756" i="2"/>
  <c r="AC756" i="2"/>
  <c r="K89" i="2"/>
  <c r="M89" i="2" s="1"/>
  <c r="K90" i="2"/>
  <c r="M90" i="2" s="1"/>
  <c r="K88" i="2"/>
  <c r="M88" i="2" s="1"/>
  <c r="K87" i="2"/>
  <c r="M87" i="2" s="1"/>
  <c r="K86" i="2"/>
  <c r="M86" i="2" s="1"/>
  <c r="K85" i="2"/>
  <c r="M85" i="2" s="1"/>
  <c r="K84" i="2"/>
  <c r="M84" i="2" s="1"/>
  <c r="K83" i="2"/>
  <c r="M83" i="2" s="1"/>
  <c r="K82" i="2"/>
  <c r="M82" i="2" s="1"/>
  <c r="K81" i="2"/>
  <c r="M81" i="2" s="1"/>
  <c r="K80" i="2"/>
  <c r="M80" i="2" s="1"/>
  <c r="K73" i="2"/>
  <c r="M73" i="2" s="1"/>
  <c r="K72" i="2"/>
  <c r="M72" i="2" s="1"/>
  <c r="AG727" i="2"/>
  <c r="AG728" i="2"/>
  <c r="AG729" i="2"/>
  <c r="AG730" i="2"/>
  <c r="AG731" i="2"/>
  <c r="AG732" i="2"/>
  <c r="AG733" i="2"/>
  <c r="AG734" i="2"/>
  <c r="AG735" i="2"/>
  <c r="AG736" i="2"/>
  <c r="AG737" i="2"/>
  <c r="AG738" i="2"/>
  <c r="AG739" i="2"/>
  <c r="AG740" i="2"/>
  <c r="AG741" i="2"/>
  <c r="AG742" i="2"/>
  <c r="AG743" i="2"/>
  <c r="AG744" i="2"/>
  <c r="AG745" i="2"/>
  <c r="AG746" i="2"/>
  <c r="AG747" i="2"/>
  <c r="AG748" i="2"/>
  <c r="AG749" i="2"/>
  <c r="AG750" i="2"/>
  <c r="AG751" i="2"/>
  <c r="AG752" i="2"/>
  <c r="AG753" i="2"/>
  <c r="AG754" i="2"/>
  <c r="AG726" i="2"/>
  <c r="U416" i="2"/>
  <c r="U400" i="2"/>
  <c r="U254" i="2"/>
  <c r="U224" i="2"/>
  <c r="AD757" i="2"/>
  <c r="AE757" i="2"/>
  <c r="AC757" i="2"/>
  <c r="AA752" i="2"/>
  <c r="AA753" i="2"/>
  <c r="AA754" i="2"/>
  <c r="AA742" i="2"/>
  <c r="AA743" i="2"/>
  <c r="AA744" i="2"/>
  <c r="AA745" i="2"/>
  <c r="AA746" i="2"/>
  <c r="AA747" i="2"/>
  <c r="AA748" i="2"/>
  <c r="AA749" i="2"/>
  <c r="AA750" i="2"/>
  <c r="AA751" i="2"/>
  <c r="AA727" i="2"/>
  <c r="AA728" i="2"/>
  <c r="AA729" i="2"/>
  <c r="AA730" i="2"/>
  <c r="AA731" i="2"/>
  <c r="AA732" i="2"/>
  <c r="AA733" i="2"/>
  <c r="AA734" i="2"/>
  <c r="AA735" i="2"/>
  <c r="AA736" i="2"/>
  <c r="AA737" i="2"/>
  <c r="AA738" i="2"/>
  <c r="AA739" i="2"/>
  <c r="AA740" i="2"/>
  <c r="AA741" i="2"/>
  <c r="V726" i="2"/>
  <c r="AA726" i="2"/>
  <c r="I583" i="2" l="1"/>
  <c r="J583" i="2" s="1"/>
  <c r="K583" i="2" s="1"/>
  <c r="L583" i="2" s="1"/>
  <c r="M583" i="2" s="1"/>
  <c r="N583" i="2" s="1"/>
  <c r="O583" i="2" s="1"/>
  <c r="P583" i="2" s="1"/>
  <c r="Q583" i="2" s="1"/>
  <c r="R583" i="2" s="1"/>
  <c r="S583" i="2" s="1"/>
  <c r="T583" i="2" s="1"/>
  <c r="U583" i="2" s="1"/>
  <c r="I582" i="2"/>
  <c r="J582" i="2" s="1"/>
  <c r="K582" i="2" s="1"/>
  <c r="L582" i="2" s="1"/>
  <c r="M582" i="2" s="1"/>
  <c r="N582" i="2" s="1"/>
  <c r="O582" i="2" s="1"/>
  <c r="P582" i="2" s="1"/>
  <c r="Q582" i="2" s="1"/>
  <c r="R582" i="2" s="1"/>
  <c r="S582" i="2" s="1"/>
  <c r="T582" i="2" s="1"/>
  <c r="U582" i="2" s="1"/>
  <c r="J416" i="2" l="1"/>
  <c r="K416" i="2"/>
  <c r="I416" i="2"/>
  <c r="K434" i="2" l="1"/>
  <c r="J434" i="2"/>
  <c r="I434" i="2"/>
  <c r="I435" i="2"/>
  <c r="I436" i="2" s="1"/>
  <c r="I360" i="2"/>
  <c r="J358" i="2"/>
  <c r="K358" i="2" s="1"/>
  <c r="L358" i="2" s="1"/>
  <c r="M358" i="2" s="1"/>
  <c r="N358" i="2" s="1"/>
  <c r="O358" i="2" s="1"/>
  <c r="P358" i="2" s="1"/>
  <c r="Q358" i="2" s="1"/>
  <c r="R358" i="2" s="1"/>
  <c r="S358" i="2" s="1"/>
  <c r="T358" i="2" s="1"/>
  <c r="U358" i="2" s="1"/>
  <c r="J357" i="2"/>
  <c r="K357" i="2" s="1"/>
  <c r="L357" i="2" s="1"/>
  <c r="M357" i="2" s="1"/>
  <c r="N357" i="2" s="1"/>
  <c r="O357" i="2" s="1"/>
  <c r="P357" i="2" s="1"/>
  <c r="Q357" i="2" s="1"/>
  <c r="R357" i="2" s="1"/>
  <c r="S357" i="2" s="1"/>
  <c r="T357" i="2" s="1"/>
  <c r="U357" i="2" s="1"/>
  <c r="J356" i="2"/>
  <c r="I340" i="2"/>
  <c r="J338" i="2"/>
  <c r="K338" i="2" s="1"/>
  <c r="L338" i="2" s="1"/>
  <c r="M338" i="2" s="1"/>
  <c r="N338" i="2" s="1"/>
  <c r="O338" i="2" s="1"/>
  <c r="P338" i="2" s="1"/>
  <c r="Q338" i="2" s="1"/>
  <c r="R338" i="2" s="1"/>
  <c r="S338" i="2" s="1"/>
  <c r="T338" i="2" s="1"/>
  <c r="U338" i="2" s="1"/>
  <c r="J337" i="2"/>
  <c r="K337" i="2" s="1"/>
  <c r="L337" i="2" s="1"/>
  <c r="M337" i="2" s="1"/>
  <c r="N337" i="2" s="1"/>
  <c r="O337" i="2" s="1"/>
  <c r="P337" i="2" s="1"/>
  <c r="Q337" i="2" s="1"/>
  <c r="R337" i="2" s="1"/>
  <c r="S337" i="2" s="1"/>
  <c r="T337" i="2" s="1"/>
  <c r="U337" i="2" s="1"/>
  <c r="J336" i="2"/>
  <c r="D477" i="2"/>
  <c r="D487" i="2"/>
  <c r="J460" i="2" l="1"/>
  <c r="I460" i="2"/>
  <c r="K460" i="2"/>
  <c r="J435" i="2"/>
  <c r="J436" i="2" s="1"/>
  <c r="J340" i="2"/>
  <c r="J360" i="2"/>
  <c r="K356" i="2"/>
  <c r="K360" i="2" s="1"/>
  <c r="K336" i="2"/>
  <c r="K435" i="2" l="1"/>
  <c r="K436" i="2" s="1"/>
  <c r="L356" i="2"/>
  <c r="L360" i="2" s="1"/>
  <c r="K340" i="2"/>
  <c r="L336" i="2"/>
  <c r="M356" i="2" l="1"/>
  <c r="N356" i="2" s="1"/>
  <c r="L340" i="2"/>
  <c r="M336" i="2"/>
  <c r="M360" i="2" l="1"/>
  <c r="O356" i="2"/>
  <c r="N360" i="2"/>
  <c r="N336" i="2"/>
  <c r="M340" i="2"/>
  <c r="P356" i="2" l="1"/>
  <c r="O360" i="2"/>
  <c r="N340" i="2"/>
  <c r="O336" i="2"/>
  <c r="P360" i="2" l="1"/>
  <c r="Q356" i="2"/>
  <c r="O340" i="2"/>
  <c r="P336" i="2"/>
  <c r="R356" i="2" l="1"/>
  <c r="Q360" i="2"/>
  <c r="P340" i="2"/>
  <c r="Q336" i="2"/>
  <c r="R360" i="2" l="1"/>
  <c r="S356" i="2"/>
  <c r="R336" i="2"/>
  <c r="Q340" i="2"/>
  <c r="S360" i="2" l="1"/>
  <c r="T356" i="2"/>
  <c r="R340" i="2"/>
  <c r="S336" i="2"/>
  <c r="T360" i="2" l="1"/>
  <c r="U356" i="2"/>
  <c r="U360" i="2" s="1"/>
  <c r="S340" i="2"/>
  <c r="T336" i="2"/>
  <c r="T340" i="2" l="1"/>
  <c r="U336" i="2"/>
  <c r="U340" i="2" s="1"/>
  <c r="V588" i="2"/>
  <c r="AB714" i="2"/>
  <c r="AB715" i="2" s="1"/>
  <c r="AB716" i="2" s="1"/>
  <c r="AB717" i="2" s="1"/>
  <c r="AB718" i="2" s="1"/>
  <c r="AB712" i="2"/>
  <c r="AB711" i="2" s="1"/>
  <c r="AB710" i="2" s="1"/>
  <c r="AB709" i="2" s="1"/>
  <c r="AB708" i="2" s="1"/>
  <c r="AI707" i="2"/>
  <c r="AJ707" i="2" s="1"/>
  <c r="AK707" i="2" s="1"/>
  <c r="AL707" i="2" s="1"/>
  <c r="AM707" i="2" s="1"/>
  <c r="AG707" i="2"/>
  <c r="AF707" i="2" s="1"/>
  <c r="AE707" i="2" s="1"/>
  <c r="AD707" i="2" s="1"/>
  <c r="AC707" i="2" s="1"/>
  <c r="AB693" i="2"/>
  <c r="AB694" i="2" s="1"/>
  <c r="AB695" i="2" s="1"/>
  <c r="AB696" i="2" s="1"/>
  <c r="AB697" i="2" s="1"/>
  <c r="AB691" i="2"/>
  <c r="AB690" i="2" s="1"/>
  <c r="AB689" i="2" s="1"/>
  <c r="AB688" i="2" s="1"/>
  <c r="AB687" i="2" s="1"/>
  <c r="AB674" i="2"/>
  <c r="AB675" i="2" s="1"/>
  <c r="AB676" i="2" s="1"/>
  <c r="AB677" i="2" s="1"/>
  <c r="AB678" i="2" s="1"/>
  <c r="AB672" i="2"/>
  <c r="AB671" i="2" s="1"/>
  <c r="AB670" i="2" s="1"/>
  <c r="AB669" i="2" s="1"/>
  <c r="AB668" i="2" s="1"/>
  <c r="AB654" i="2"/>
  <c r="AB655" i="2" s="1"/>
  <c r="AB656" i="2" s="1"/>
  <c r="AB657" i="2" s="1"/>
  <c r="AB658" i="2" s="1"/>
  <c r="AB659" i="2" s="1"/>
  <c r="AB652" i="2"/>
  <c r="AB651" i="2" s="1"/>
  <c r="AB650" i="2" s="1"/>
  <c r="AB649" i="2" s="1"/>
  <c r="G168" i="2"/>
  <c r="F7" i="12" l="1"/>
  <c r="G7" i="12" s="1"/>
  <c r="H7" i="12" s="1"/>
  <c r="I7" i="12" s="1"/>
  <c r="J7" i="12" s="1"/>
  <c r="K7" i="12" s="1"/>
  <c r="L7" i="12" s="1"/>
  <c r="M7" i="12" s="1"/>
  <c r="N7" i="12" s="1"/>
  <c r="O7" i="12" s="1"/>
  <c r="P7" i="12" s="1"/>
  <c r="Q7" i="12" s="1"/>
  <c r="A1" i="12"/>
  <c r="Q52" i="1"/>
  <c r="R52" i="1"/>
  <c r="H52" i="1"/>
  <c r="I52" i="1"/>
  <c r="J52" i="1"/>
  <c r="K52" i="1"/>
  <c r="L52" i="1"/>
  <c r="M52" i="1"/>
  <c r="N52" i="1"/>
  <c r="O52" i="1"/>
  <c r="P52" i="1"/>
  <c r="G52" i="1"/>
  <c r="I512" i="2"/>
  <c r="I511" i="2"/>
  <c r="J511" i="2" s="1"/>
  <c r="K511" i="2" s="1"/>
  <c r="L511" i="2" s="1"/>
  <c r="M511" i="2" s="1"/>
  <c r="N511" i="2" s="1"/>
  <c r="O511" i="2" s="1"/>
  <c r="P511" i="2" s="1"/>
  <c r="Q511" i="2" s="1"/>
  <c r="R511" i="2" s="1"/>
  <c r="S511" i="2" s="1"/>
  <c r="T511" i="2" s="1"/>
  <c r="U511" i="2" s="1"/>
  <c r="I422" i="2"/>
  <c r="J422" i="2" s="1"/>
  <c r="K422" i="2" s="1"/>
  <c r="L422" i="2" s="1"/>
  <c r="M422" i="2" s="1"/>
  <c r="N422" i="2" s="1"/>
  <c r="O422" i="2" s="1"/>
  <c r="P422" i="2" s="1"/>
  <c r="Q422" i="2" s="1"/>
  <c r="R422" i="2" s="1"/>
  <c r="S422" i="2" s="1"/>
  <c r="T422" i="2" s="1"/>
  <c r="U422" i="2" s="1"/>
  <c r="I423" i="2"/>
  <c r="I467" i="2" s="1"/>
  <c r="I407" i="2"/>
  <c r="J407" i="2" s="1"/>
  <c r="K407" i="2" s="1"/>
  <c r="L407" i="2" s="1"/>
  <c r="M407" i="2" s="1"/>
  <c r="N407" i="2" s="1"/>
  <c r="O407" i="2" s="1"/>
  <c r="P407" i="2" s="1"/>
  <c r="Q407" i="2" s="1"/>
  <c r="R407" i="2" s="1"/>
  <c r="S407" i="2" s="1"/>
  <c r="T407" i="2" s="1"/>
  <c r="U407" i="2" s="1"/>
  <c r="I406" i="2"/>
  <c r="J406" i="2" s="1"/>
  <c r="K406" i="2" s="1"/>
  <c r="L406" i="2" s="1"/>
  <c r="M406" i="2" s="1"/>
  <c r="N406" i="2" s="1"/>
  <c r="O406" i="2" s="1"/>
  <c r="P406" i="2" s="1"/>
  <c r="Q406" i="2" s="1"/>
  <c r="R406" i="2" s="1"/>
  <c r="S406" i="2" s="1"/>
  <c r="T406" i="2" s="1"/>
  <c r="U406" i="2" s="1"/>
  <c r="I261" i="2"/>
  <c r="J261" i="2" s="1"/>
  <c r="K261" i="2" s="1"/>
  <c r="L261" i="2" s="1"/>
  <c r="M261" i="2" s="1"/>
  <c r="N261" i="2" s="1"/>
  <c r="O261" i="2" s="1"/>
  <c r="P261" i="2" s="1"/>
  <c r="Q261" i="2" s="1"/>
  <c r="R261" i="2" s="1"/>
  <c r="S261" i="2" s="1"/>
  <c r="T261" i="2" s="1"/>
  <c r="U261" i="2" s="1"/>
  <c r="I260" i="2"/>
  <c r="J260" i="2" s="1"/>
  <c r="K260" i="2" s="1"/>
  <c r="L260" i="2" s="1"/>
  <c r="M260" i="2" s="1"/>
  <c r="N260" i="2" s="1"/>
  <c r="O260" i="2" s="1"/>
  <c r="P260" i="2" s="1"/>
  <c r="Q260" i="2" s="1"/>
  <c r="R260" i="2" s="1"/>
  <c r="S260" i="2" s="1"/>
  <c r="T260" i="2" s="1"/>
  <c r="U260" i="2" s="1"/>
  <c r="I429" i="2" l="1"/>
  <c r="I430" i="2" s="1"/>
  <c r="I453" i="2"/>
  <c r="I428" i="2"/>
  <c r="W52" i="1"/>
  <c r="J423" i="2"/>
  <c r="J467" i="2" s="1"/>
  <c r="Q64" i="12"/>
  <c r="R7" i="12"/>
  <c r="R64" i="12" s="1"/>
  <c r="J512" i="2"/>
  <c r="K512" i="2" s="1"/>
  <c r="L512" i="2" s="1"/>
  <c r="M512" i="2" s="1"/>
  <c r="N512" i="2" s="1"/>
  <c r="O512" i="2" s="1"/>
  <c r="P512" i="2" s="1"/>
  <c r="Q512" i="2" s="1"/>
  <c r="R512" i="2" s="1"/>
  <c r="S512" i="2" s="1"/>
  <c r="T512" i="2" s="1"/>
  <c r="U512" i="2" s="1"/>
  <c r="P64" i="12"/>
  <c r="H64" i="12"/>
  <c r="O64" i="12"/>
  <c r="K64" i="12"/>
  <c r="G64" i="12"/>
  <c r="L64" i="12"/>
  <c r="F64" i="12"/>
  <c r="N64" i="12"/>
  <c r="J64" i="12"/>
  <c r="M64" i="12"/>
  <c r="I64" i="12"/>
  <c r="I567" i="2" l="1"/>
  <c r="I569" i="2"/>
  <c r="I504" i="2" s="1"/>
  <c r="I458" i="2"/>
  <c r="I454" i="2"/>
  <c r="J453" i="2"/>
  <c r="J569" i="2" s="1"/>
  <c r="J504" i="2" s="1"/>
  <c r="J429" i="2"/>
  <c r="J430" i="2" s="1"/>
  <c r="J428" i="2"/>
  <c r="K423" i="2"/>
  <c r="K467" i="2" s="1"/>
  <c r="J454" i="2" l="1"/>
  <c r="J567" i="2"/>
  <c r="I459" i="2"/>
  <c r="I461" i="2" s="1"/>
  <c r="K453" i="2"/>
  <c r="K569" i="2" s="1"/>
  <c r="K504" i="2" s="1"/>
  <c r="K429" i="2"/>
  <c r="K430" i="2" s="1"/>
  <c r="K428" i="2"/>
  <c r="L423" i="2"/>
  <c r="L467" i="2" s="1"/>
  <c r="K454" i="2" l="1"/>
  <c r="K567" i="2"/>
  <c r="I469" i="2"/>
  <c r="F11" i="12" s="1"/>
  <c r="I468" i="2"/>
  <c r="K458" i="2"/>
  <c r="K459" i="2" s="1"/>
  <c r="L453" i="2"/>
  <c r="L429" i="2"/>
  <c r="L430" i="2" s="1"/>
  <c r="L428" i="2"/>
  <c r="L556" i="2" s="1"/>
  <c r="M423" i="2"/>
  <c r="M467" i="2" s="1"/>
  <c r="K556" i="2"/>
  <c r="L567" i="2" l="1"/>
  <c r="L569" i="2"/>
  <c r="L504" i="2" s="1"/>
  <c r="F67" i="12"/>
  <c r="G11" i="1"/>
  <c r="L458" i="2"/>
  <c r="L459" i="2" s="1"/>
  <c r="L454" i="2"/>
  <c r="M453" i="2"/>
  <c r="M428" i="2"/>
  <c r="M429" i="2"/>
  <c r="M430" i="2" s="1"/>
  <c r="N423" i="2"/>
  <c r="N467" i="2" s="1"/>
  <c r="I63" i="1"/>
  <c r="H24" i="12"/>
  <c r="I24" i="12"/>
  <c r="J63" i="1"/>
  <c r="M567" i="2" l="1"/>
  <c r="M569" i="2"/>
  <c r="M504" i="2" s="1"/>
  <c r="M458" i="2"/>
  <c r="M459" i="2" s="1"/>
  <c r="M454" i="2"/>
  <c r="N453" i="2"/>
  <c r="N429" i="2"/>
  <c r="N428" i="2"/>
  <c r="O423" i="2"/>
  <c r="O467" i="2" s="1"/>
  <c r="M556" i="2"/>
  <c r="N567" i="2" l="1"/>
  <c r="N569" i="2"/>
  <c r="N504" i="2" s="1"/>
  <c r="N454" i="2"/>
  <c r="N430" i="2"/>
  <c r="N458" i="2"/>
  <c r="N459" i="2" s="1"/>
  <c r="O453" i="2"/>
  <c r="O569" i="2" s="1"/>
  <c r="O504" i="2" s="1"/>
  <c r="O429" i="2"/>
  <c r="O430" i="2" s="1"/>
  <c r="O428" i="2"/>
  <c r="O556" i="2" s="1"/>
  <c r="P423" i="2"/>
  <c r="P467" i="2" s="1"/>
  <c r="J24" i="12"/>
  <c r="K63" i="1"/>
  <c r="N556" i="2"/>
  <c r="O454" i="2" l="1"/>
  <c r="O567" i="2"/>
  <c r="P453" i="2"/>
  <c r="P429" i="2"/>
  <c r="P428" i="2"/>
  <c r="Q423" i="2"/>
  <c r="Q467" i="2" s="1"/>
  <c r="M63" i="1"/>
  <c r="L24" i="12"/>
  <c r="K24" i="12"/>
  <c r="L63" i="1"/>
  <c r="P567" i="2" l="1"/>
  <c r="P569" i="2"/>
  <c r="P504" i="2" s="1"/>
  <c r="P454" i="2"/>
  <c r="P430" i="2"/>
  <c r="Q453" i="2"/>
  <c r="Q428" i="2"/>
  <c r="Q429" i="2"/>
  <c r="Q430" i="2" s="1"/>
  <c r="R423" i="2"/>
  <c r="R467" i="2" s="1"/>
  <c r="P556" i="2"/>
  <c r="Q567" i="2" l="1"/>
  <c r="Q569" i="2"/>
  <c r="Q504" i="2" s="1"/>
  <c r="Q454" i="2"/>
  <c r="Q458" i="2"/>
  <c r="Q459" i="2" s="1"/>
  <c r="R453" i="2"/>
  <c r="R429" i="2"/>
  <c r="R430" i="2" s="1"/>
  <c r="R428" i="2"/>
  <c r="R556" i="2" s="1"/>
  <c r="S423" i="2"/>
  <c r="S467" i="2" s="1"/>
  <c r="M24" i="12"/>
  <c r="N63" i="1"/>
  <c r="Q556" i="2"/>
  <c r="R454" i="2" l="1"/>
  <c r="S453" i="2"/>
  <c r="S429" i="2"/>
  <c r="S430" i="2" s="1"/>
  <c r="S428" i="2"/>
  <c r="T423" i="2"/>
  <c r="T467" i="2" s="1"/>
  <c r="N24" i="12"/>
  <c r="O63" i="1"/>
  <c r="O24" i="12"/>
  <c r="P63" i="1"/>
  <c r="S567" i="2" l="1"/>
  <c r="S569" i="2"/>
  <c r="S504" i="2" s="1"/>
  <c r="S458" i="2"/>
  <c r="S459" i="2" s="1"/>
  <c r="T453" i="2"/>
  <c r="T429" i="2"/>
  <c r="T430" i="2" s="1"/>
  <c r="T428" i="2"/>
  <c r="S454" i="2"/>
  <c r="U423" i="2"/>
  <c r="U467" i="2" s="1"/>
  <c r="S556" i="2"/>
  <c r="T567" i="2" l="1"/>
  <c r="T569" i="2"/>
  <c r="T504" i="2" s="1"/>
  <c r="U453" i="2"/>
  <c r="U428" i="2"/>
  <c r="U556" i="2" s="1"/>
  <c r="U429" i="2"/>
  <c r="U430" i="2" s="1"/>
  <c r="T454" i="2"/>
  <c r="T556" i="2"/>
  <c r="R63" i="1" s="1"/>
  <c r="Q63" i="1"/>
  <c r="P24" i="12"/>
  <c r="T416" i="2"/>
  <c r="T400" i="2"/>
  <c r="T254" i="2"/>
  <c r="T224" i="2"/>
  <c r="S416" i="2"/>
  <c r="S400" i="2"/>
  <c r="S254" i="2"/>
  <c r="S224" i="2"/>
  <c r="U567" i="2" l="1"/>
  <c r="U569" i="2"/>
  <c r="U504" i="2" s="1"/>
  <c r="U458" i="2"/>
  <c r="U459" i="2" s="1"/>
  <c r="Q24" i="12"/>
  <c r="U454" i="2"/>
  <c r="U559" i="2"/>
  <c r="S63" i="1"/>
  <c r="R24" i="12"/>
  <c r="G118" i="2"/>
  <c r="I175" i="2"/>
  <c r="J175" i="2" s="1"/>
  <c r="K175" i="2" s="1"/>
  <c r="L175" i="2" s="1"/>
  <c r="M175" i="2" s="1"/>
  <c r="N175" i="2" s="1"/>
  <c r="O175" i="2" s="1"/>
  <c r="P175" i="2" s="1"/>
  <c r="Q175" i="2" s="1"/>
  <c r="R175" i="2" s="1"/>
  <c r="S175" i="2" s="1"/>
  <c r="T175" i="2" s="1"/>
  <c r="U175" i="2" s="1"/>
  <c r="K559" i="2" l="1"/>
  <c r="J559" i="2"/>
  <c r="L559" i="2" l="1"/>
  <c r="M559" i="2"/>
  <c r="N559" i="2" l="1"/>
  <c r="O559" i="2" l="1"/>
  <c r="G13" i="2"/>
  <c r="L88" i="2" l="1"/>
  <c r="L89" i="2"/>
  <c r="P559" i="2"/>
  <c r="K75" i="2"/>
  <c r="G58" i="2"/>
  <c r="I350" i="2"/>
  <c r="J348" i="2"/>
  <c r="K348" i="2" s="1"/>
  <c r="L348" i="2" s="1"/>
  <c r="M348" i="2" s="1"/>
  <c r="N348" i="2" s="1"/>
  <c r="O348" i="2" s="1"/>
  <c r="P348" i="2" s="1"/>
  <c r="Q348" i="2" s="1"/>
  <c r="R348" i="2" s="1"/>
  <c r="S348" i="2" s="1"/>
  <c r="T348" i="2" s="1"/>
  <c r="U348" i="2" s="1"/>
  <c r="J347" i="2"/>
  <c r="K347" i="2" s="1"/>
  <c r="L347" i="2" s="1"/>
  <c r="M347" i="2" s="1"/>
  <c r="N347" i="2" s="1"/>
  <c r="O347" i="2" s="1"/>
  <c r="P347" i="2" s="1"/>
  <c r="Q347" i="2" s="1"/>
  <c r="R347" i="2" s="1"/>
  <c r="S347" i="2" s="1"/>
  <c r="T347" i="2" s="1"/>
  <c r="U347" i="2" s="1"/>
  <c r="J346" i="2"/>
  <c r="M75" i="2" l="1"/>
  <c r="K79" i="2"/>
  <c r="J350" i="2"/>
  <c r="I438" i="2"/>
  <c r="I439" i="2" s="1"/>
  <c r="L84" i="2"/>
  <c r="L80" i="2"/>
  <c r="L90" i="2"/>
  <c r="L83" i="2"/>
  <c r="L86" i="2"/>
  <c r="L82" i="2"/>
  <c r="L87" i="2"/>
  <c r="L85" i="2"/>
  <c r="L81" i="2"/>
  <c r="L72" i="2"/>
  <c r="L73" i="2"/>
  <c r="G59" i="2"/>
  <c r="G60" i="2" s="1"/>
  <c r="K346" i="2"/>
  <c r="L346" i="2" s="1"/>
  <c r="M346" i="2" s="1"/>
  <c r="J387" i="2"/>
  <c r="K387" i="2" s="1"/>
  <c r="L387" i="2" s="1"/>
  <c r="M387" i="2" s="1"/>
  <c r="N387" i="2" s="1"/>
  <c r="O387" i="2" s="1"/>
  <c r="P387" i="2" s="1"/>
  <c r="Q387" i="2" s="1"/>
  <c r="R387" i="2" s="1"/>
  <c r="S387" i="2" s="1"/>
  <c r="T387" i="2" s="1"/>
  <c r="U387" i="2" s="1"/>
  <c r="J388" i="2"/>
  <c r="K388" i="2" s="1"/>
  <c r="L388" i="2" s="1"/>
  <c r="M388" i="2" s="1"/>
  <c r="N388" i="2" s="1"/>
  <c r="O388" i="2" s="1"/>
  <c r="P388" i="2" s="1"/>
  <c r="Q388" i="2" s="1"/>
  <c r="R388" i="2" s="1"/>
  <c r="S388" i="2" s="1"/>
  <c r="T388" i="2" s="1"/>
  <c r="U388" i="2" s="1"/>
  <c r="J386" i="2"/>
  <c r="K386" i="2" s="1"/>
  <c r="I390" i="2"/>
  <c r="I548" i="2" s="1"/>
  <c r="J377" i="2"/>
  <c r="K377" i="2" s="1"/>
  <c r="L377" i="2" s="1"/>
  <c r="M377" i="2" s="1"/>
  <c r="N377" i="2" s="1"/>
  <c r="O377" i="2" s="1"/>
  <c r="P377" i="2" s="1"/>
  <c r="Q377" i="2" s="1"/>
  <c r="R377" i="2" s="1"/>
  <c r="S377" i="2" s="1"/>
  <c r="T377" i="2" s="1"/>
  <c r="U377" i="2" s="1"/>
  <c r="J378" i="2"/>
  <c r="K378" i="2" s="1"/>
  <c r="L378" i="2" s="1"/>
  <c r="M378" i="2" s="1"/>
  <c r="N378" i="2" s="1"/>
  <c r="O378" i="2" s="1"/>
  <c r="P378" i="2" s="1"/>
  <c r="Q378" i="2" s="1"/>
  <c r="R378" i="2" s="1"/>
  <c r="S378" i="2" s="1"/>
  <c r="T378" i="2" s="1"/>
  <c r="U378" i="2" s="1"/>
  <c r="J376" i="2"/>
  <c r="K376" i="2" s="1"/>
  <c r="L376" i="2" s="1"/>
  <c r="M376" i="2" s="1"/>
  <c r="N376" i="2" s="1"/>
  <c r="O376" i="2" s="1"/>
  <c r="P376" i="2" s="1"/>
  <c r="Q376" i="2" s="1"/>
  <c r="R376" i="2" s="1"/>
  <c r="S376" i="2" s="1"/>
  <c r="J367" i="2"/>
  <c r="K367" i="2" s="1"/>
  <c r="L367" i="2" s="1"/>
  <c r="M367" i="2" s="1"/>
  <c r="N367" i="2" s="1"/>
  <c r="O367" i="2" s="1"/>
  <c r="P367" i="2" s="1"/>
  <c r="Q367" i="2" s="1"/>
  <c r="R367" i="2" s="1"/>
  <c r="S367" i="2" s="1"/>
  <c r="T367" i="2" s="1"/>
  <c r="U367" i="2" s="1"/>
  <c r="J368" i="2"/>
  <c r="K368" i="2" s="1"/>
  <c r="L368" i="2" s="1"/>
  <c r="M368" i="2" s="1"/>
  <c r="N368" i="2" s="1"/>
  <c r="O368" i="2" s="1"/>
  <c r="P368" i="2" s="1"/>
  <c r="Q368" i="2" s="1"/>
  <c r="R368" i="2" s="1"/>
  <c r="S368" i="2" s="1"/>
  <c r="T368" i="2" s="1"/>
  <c r="U368" i="2" s="1"/>
  <c r="J366" i="2"/>
  <c r="K366" i="2" s="1"/>
  <c r="L366" i="2" s="1"/>
  <c r="M366" i="2" s="1"/>
  <c r="N366" i="2" s="1"/>
  <c r="O366" i="2" s="1"/>
  <c r="P366" i="2" s="1"/>
  <c r="Q366" i="2" s="1"/>
  <c r="R366" i="2" s="1"/>
  <c r="S366" i="2" s="1"/>
  <c r="J327" i="2"/>
  <c r="K327" i="2" s="1"/>
  <c r="L327" i="2" s="1"/>
  <c r="M327" i="2" s="1"/>
  <c r="N327" i="2" s="1"/>
  <c r="O327" i="2" s="1"/>
  <c r="P327" i="2" s="1"/>
  <c r="Q327" i="2" s="1"/>
  <c r="R327" i="2" s="1"/>
  <c r="S327" i="2" s="1"/>
  <c r="T327" i="2" s="1"/>
  <c r="U327" i="2" s="1"/>
  <c r="J328" i="2"/>
  <c r="K328" i="2" s="1"/>
  <c r="L328" i="2" s="1"/>
  <c r="M328" i="2" s="1"/>
  <c r="N328" i="2" s="1"/>
  <c r="O328" i="2" s="1"/>
  <c r="P328" i="2" s="1"/>
  <c r="Q328" i="2" s="1"/>
  <c r="R328" i="2" s="1"/>
  <c r="S328" i="2" s="1"/>
  <c r="T328" i="2" s="1"/>
  <c r="U328" i="2" s="1"/>
  <c r="J326" i="2"/>
  <c r="K326" i="2" s="1"/>
  <c r="I559" i="2" l="1"/>
  <c r="I437" i="2"/>
  <c r="J438" i="2"/>
  <c r="R559" i="2"/>
  <c r="S559" i="2"/>
  <c r="Q559" i="2"/>
  <c r="I443" i="2"/>
  <c r="I444" i="2" s="1"/>
  <c r="S370" i="2"/>
  <c r="T366" i="2"/>
  <c r="S380" i="2"/>
  <c r="T376" i="2"/>
  <c r="M79" i="2"/>
  <c r="L75" i="2"/>
  <c r="F42" i="2"/>
  <c r="F53" i="12" s="1"/>
  <c r="L350" i="2"/>
  <c r="L416" i="2"/>
  <c r="K350" i="2"/>
  <c r="N346" i="2"/>
  <c r="M350" i="2"/>
  <c r="L386" i="2"/>
  <c r="M386" i="2" s="1"/>
  <c r="N386" i="2" s="1"/>
  <c r="O386" i="2" s="1"/>
  <c r="P386" i="2" s="1"/>
  <c r="Q386" i="2" s="1"/>
  <c r="R386" i="2" s="1"/>
  <c r="S386" i="2" s="1"/>
  <c r="K390" i="2"/>
  <c r="J390" i="2"/>
  <c r="L326" i="2"/>
  <c r="L434" i="2" l="1"/>
  <c r="L435" i="2"/>
  <c r="L436" i="2" s="1"/>
  <c r="T370" i="2"/>
  <c r="U366" i="2"/>
  <c r="U370" i="2" s="1"/>
  <c r="T380" i="2"/>
  <c r="U376" i="2"/>
  <c r="U380" i="2" s="1"/>
  <c r="G50" i="1"/>
  <c r="K438" i="2"/>
  <c r="J437" i="2"/>
  <c r="J443" i="2"/>
  <c r="T559" i="2"/>
  <c r="AB743" i="2" s="1"/>
  <c r="S390" i="2"/>
  <c r="T386" i="2"/>
  <c r="L79" i="2"/>
  <c r="M416" i="2"/>
  <c r="N350" i="2"/>
  <c r="O346" i="2"/>
  <c r="L390" i="2"/>
  <c r="M326" i="2"/>
  <c r="L460" i="2" l="1"/>
  <c r="M434" i="2"/>
  <c r="M435" i="2"/>
  <c r="M436" i="2" s="1"/>
  <c r="T390" i="2"/>
  <c r="U386" i="2"/>
  <c r="U390" i="2" s="1"/>
  <c r="K443" i="2"/>
  <c r="L438" i="2"/>
  <c r="L439" i="2" s="1"/>
  <c r="K437" i="2"/>
  <c r="N416" i="2"/>
  <c r="P346" i="2"/>
  <c r="O350" i="2"/>
  <c r="M390" i="2"/>
  <c r="N326" i="2"/>
  <c r="M460" i="2" l="1"/>
  <c r="N434" i="2"/>
  <c r="N435" i="2"/>
  <c r="N436" i="2" s="1"/>
  <c r="L443" i="2"/>
  <c r="L444" i="2" s="1"/>
  <c r="M438" i="2"/>
  <c r="M439" i="2" s="1"/>
  <c r="L437" i="2"/>
  <c r="L482" i="2"/>
  <c r="O416" i="2"/>
  <c r="Q346" i="2"/>
  <c r="P350" i="2"/>
  <c r="N390" i="2"/>
  <c r="O326" i="2"/>
  <c r="N460" i="2" l="1"/>
  <c r="O434" i="2"/>
  <c r="O460" i="2" s="1"/>
  <c r="L489" i="2"/>
  <c r="L563" i="2" s="1"/>
  <c r="O435" i="2"/>
  <c r="O436" i="2" s="1"/>
  <c r="L564" i="2"/>
  <c r="M482" i="2"/>
  <c r="N438" i="2"/>
  <c r="N439" i="2" s="1"/>
  <c r="M443" i="2"/>
  <c r="M437" i="2"/>
  <c r="P416" i="2"/>
  <c r="R346" i="2"/>
  <c r="Q350" i="2"/>
  <c r="O390" i="2"/>
  <c r="P326" i="2"/>
  <c r="P434" i="2" l="1"/>
  <c r="P435" i="2"/>
  <c r="P436" i="2" s="1"/>
  <c r="M564" i="2"/>
  <c r="M444" i="2"/>
  <c r="O438" i="2"/>
  <c r="O439" i="2" s="1"/>
  <c r="N443" i="2"/>
  <c r="N482" i="2"/>
  <c r="M489" i="2"/>
  <c r="M563" i="2" s="1"/>
  <c r="N437" i="2"/>
  <c r="R350" i="2"/>
  <c r="S346" i="2"/>
  <c r="R416" i="2"/>
  <c r="Q416" i="2"/>
  <c r="Q434" i="2" s="1"/>
  <c r="P390" i="2"/>
  <c r="Q326" i="2"/>
  <c r="P460" i="2" l="1"/>
  <c r="Q460" i="2"/>
  <c r="U434" i="2"/>
  <c r="R434" i="2"/>
  <c r="T434" i="2"/>
  <c r="S434" i="2"/>
  <c r="Q435" i="2"/>
  <c r="Q436" i="2" s="1"/>
  <c r="N489" i="2"/>
  <c r="N563" i="2" s="1"/>
  <c r="N444" i="2"/>
  <c r="O482" i="2"/>
  <c r="P438" i="2"/>
  <c r="P439" i="2" s="1"/>
  <c r="O443" i="2"/>
  <c r="N564" i="2"/>
  <c r="O437" i="2"/>
  <c r="S350" i="2"/>
  <c r="T346" i="2"/>
  <c r="R390" i="2"/>
  <c r="Q390" i="2"/>
  <c r="R326" i="2"/>
  <c r="S326" i="2" s="1"/>
  <c r="U460" i="2" l="1"/>
  <c r="T460" i="2"/>
  <c r="S460" i="2"/>
  <c r="R460" i="2"/>
  <c r="R435" i="2"/>
  <c r="R436" i="2" s="1"/>
  <c r="O564" i="2"/>
  <c r="O444" i="2"/>
  <c r="P482" i="2"/>
  <c r="O489" i="2"/>
  <c r="O563" i="2" s="1"/>
  <c r="P443" i="2"/>
  <c r="Q438" i="2"/>
  <c r="Q439" i="2" s="1"/>
  <c r="T350" i="2"/>
  <c r="U346" i="2"/>
  <c r="U350" i="2" s="1"/>
  <c r="P437" i="2"/>
  <c r="S330" i="2"/>
  <c r="T326" i="2"/>
  <c r="S435" i="2" l="1"/>
  <c r="S436" i="2" s="1"/>
  <c r="P489" i="2"/>
  <c r="P563" i="2" s="1"/>
  <c r="P444" i="2"/>
  <c r="Q482" i="2"/>
  <c r="Q443" i="2"/>
  <c r="R438" i="2"/>
  <c r="R439" i="2" s="1"/>
  <c r="P564" i="2"/>
  <c r="T330" i="2"/>
  <c r="U326" i="2"/>
  <c r="U330" i="2" s="1"/>
  <c r="Q437" i="2"/>
  <c r="I380" i="2"/>
  <c r="I547" i="2" s="1"/>
  <c r="K380" i="2"/>
  <c r="J380" i="2"/>
  <c r="I370" i="2"/>
  <c r="I546" i="2" s="1"/>
  <c r="I330" i="2"/>
  <c r="J330" i="2"/>
  <c r="I320" i="2"/>
  <c r="J318" i="2"/>
  <c r="K318" i="2" s="1"/>
  <c r="L318" i="2" s="1"/>
  <c r="M318" i="2" s="1"/>
  <c r="N318" i="2" s="1"/>
  <c r="O318" i="2" s="1"/>
  <c r="P318" i="2" s="1"/>
  <c r="Q318" i="2" s="1"/>
  <c r="R318" i="2" s="1"/>
  <c r="S318" i="2" s="1"/>
  <c r="T318" i="2" s="1"/>
  <c r="U318" i="2" s="1"/>
  <c r="J317" i="2"/>
  <c r="K317" i="2" s="1"/>
  <c r="L317" i="2" s="1"/>
  <c r="M317" i="2" s="1"/>
  <c r="N317" i="2" s="1"/>
  <c r="O317" i="2" s="1"/>
  <c r="P317" i="2" s="1"/>
  <c r="Q317" i="2" s="1"/>
  <c r="R317" i="2" s="1"/>
  <c r="S317" i="2" s="1"/>
  <c r="T317" i="2" s="1"/>
  <c r="U317" i="2" s="1"/>
  <c r="J316" i="2"/>
  <c r="I310" i="2"/>
  <c r="J308" i="2"/>
  <c r="K308" i="2" s="1"/>
  <c r="L308" i="2" s="1"/>
  <c r="M308" i="2" s="1"/>
  <c r="N308" i="2" s="1"/>
  <c r="O308" i="2" s="1"/>
  <c r="P308" i="2" s="1"/>
  <c r="Q308" i="2" s="1"/>
  <c r="R308" i="2" s="1"/>
  <c r="S308" i="2" s="1"/>
  <c r="T308" i="2" s="1"/>
  <c r="U308" i="2" s="1"/>
  <c r="J307" i="2"/>
  <c r="K307" i="2" s="1"/>
  <c r="L307" i="2" s="1"/>
  <c r="M307" i="2" s="1"/>
  <c r="N307" i="2" s="1"/>
  <c r="O307" i="2" s="1"/>
  <c r="P307" i="2" s="1"/>
  <c r="Q307" i="2" s="1"/>
  <c r="R307" i="2" s="1"/>
  <c r="S307" i="2" s="1"/>
  <c r="T307" i="2" s="1"/>
  <c r="U307" i="2" s="1"/>
  <c r="J306" i="2"/>
  <c r="I300" i="2"/>
  <c r="J298" i="2"/>
  <c r="K298" i="2" s="1"/>
  <c r="L298" i="2" s="1"/>
  <c r="M298" i="2" s="1"/>
  <c r="N298" i="2" s="1"/>
  <c r="O298" i="2" s="1"/>
  <c r="P298" i="2" s="1"/>
  <c r="Q298" i="2" s="1"/>
  <c r="R298" i="2" s="1"/>
  <c r="S298" i="2" s="1"/>
  <c r="T298" i="2" s="1"/>
  <c r="U298" i="2" s="1"/>
  <c r="J297" i="2"/>
  <c r="K297" i="2" s="1"/>
  <c r="L297" i="2" s="1"/>
  <c r="M297" i="2" s="1"/>
  <c r="N297" i="2" s="1"/>
  <c r="O297" i="2" s="1"/>
  <c r="P297" i="2" s="1"/>
  <c r="Q297" i="2" s="1"/>
  <c r="R297" i="2" s="1"/>
  <c r="S297" i="2" s="1"/>
  <c r="T297" i="2" s="1"/>
  <c r="U297" i="2" s="1"/>
  <c r="J296" i="2"/>
  <c r="I290" i="2"/>
  <c r="J288" i="2"/>
  <c r="K288" i="2" s="1"/>
  <c r="L288" i="2" s="1"/>
  <c r="M288" i="2" s="1"/>
  <c r="N288" i="2" s="1"/>
  <c r="O288" i="2" s="1"/>
  <c r="P288" i="2" s="1"/>
  <c r="Q288" i="2" s="1"/>
  <c r="R288" i="2" s="1"/>
  <c r="S288" i="2" s="1"/>
  <c r="T288" i="2" s="1"/>
  <c r="U288" i="2" s="1"/>
  <c r="J287" i="2"/>
  <c r="K287" i="2" s="1"/>
  <c r="L287" i="2" s="1"/>
  <c r="M287" i="2" s="1"/>
  <c r="N287" i="2" s="1"/>
  <c r="O287" i="2" s="1"/>
  <c r="P287" i="2" s="1"/>
  <c r="Q287" i="2" s="1"/>
  <c r="R287" i="2" s="1"/>
  <c r="S287" i="2" s="1"/>
  <c r="T287" i="2" s="1"/>
  <c r="U287" i="2" s="1"/>
  <c r="J286" i="2"/>
  <c r="I270" i="2"/>
  <c r="J268" i="2"/>
  <c r="K268" i="2" s="1"/>
  <c r="L268" i="2" s="1"/>
  <c r="M268" i="2" s="1"/>
  <c r="N268" i="2" s="1"/>
  <c r="O268" i="2" s="1"/>
  <c r="P268" i="2" s="1"/>
  <c r="Q268" i="2" s="1"/>
  <c r="R268" i="2" s="1"/>
  <c r="S268" i="2" s="1"/>
  <c r="T268" i="2" s="1"/>
  <c r="U268" i="2" s="1"/>
  <c r="J267" i="2"/>
  <c r="K267" i="2" s="1"/>
  <c r="L267" i="2" s="1"/>
  <c r="M267" i="2" s="1"/>
  <c r="N267" i="2" s="1"/>
  <c r="O267" i="2" s="1"/>
  <c r="P267" i="2" s="1"/>
  <c r="Q267" i="2" s="1"/>
  <c r="R267" i="2" s="1"/>
  <c r="S267" i="2" s="1"/>
  <c r="T267" i="2" s="1"/>
  <c r="U267" i="2" s="1"/>
  <c r="J266" i="2"/>
  <c r="J278" i="2"/>
  <c r="K278" i="2" s="1"/>
  <c r="L278" i="2" s="1"/>
  <c r="M278" i="2" s="1"/>
  <c r="N278" i="2" s="1"/>
  <c r="O278" i="2" s="1"/>
  <c r="P278" i="2" s="1"/>
  <c r="Q278" i="2" s="1"/>
  <c r="R278" i="2" s="1"/>
  <c r="S278" i="2" s="1"/>
  <c r="T278" i="2" s="1"/>
  <c r="U278" i="2" s="1"/>
  <c r="J277" i="2"/>
  <c r="K277" i="2" s="1"/>
  <c r="L277" i="2" s="1"/>
  <c r="M277" i="2" s="1"/>
  <c r="N277" i="2" s="1"/>
  <c r="O277" i="2" s="1"/>
  <c r="P277" i="2" s="1"/>
  <c r="Q277" i="2" s="1"/>
  <c r="R277" i="2" s="1"/>
  <c r="S277" i="2" s="1"/>
  <c r="T277" i="2" s="1"/>
  <c r="U277" i="2" s="1"/>
  <c r="J276" i="2"/>
  <c r="K276" i="2" s="1"/>
  <c r="L276" i="2" s="1"/>
  <c r="I280" i="2"/>
  <c r="G7" i="1"/>
  <c r="H7" i="1" s="1"/>
  <c r="I7" i="1" s="1"/>
  <c r="J7" i="1" s="1"/>
  <c r="K7" i="1" s="1"/>
  <c r="L7" i="1" s="1"/>
  <c r="M7" i="1" s="1"/>
  <c r="N7" i="1" s="1"/>
  <c r="O7" i="1" s="1"/>
  <c r="P7" i="1" s="1"/>
  <c r="Q7" i="1" s="1"/>
  <c r="R7" i="1" s="1"/>
  <c r="S7" i="1" s="1"/>
  <c r="J241" i="2"/>
  <c r="K241" i="2" s="1"/>
  <c r="L241" i="2" s="1"/>
  <c r="M241" i="2" s="1"/>
  <c r="N241" i="2" s="1"/>
  <c r="O241" i="2" s="1"/>
  <c r="P241" i="2" s="1"/>
  <c r="Q241" i="2" s="1"/>
  <c r="R241" i="2" s="1"/>
  <c r="S241" i="2" s="1"/>
  <c r="T241" i="2" s="1"/>
  <c r="U241" i="2" s="1"/>
  <c r="J242" i="2"/>
  <c r="K242" i="2" s="1"/>
  <c r="L242" i="2" s="1"/>
  <c r="M242" i="2" s="1"/>
  <c r="N242" i="2" s="1"/>
  <c r="O242" i="2" s="1"/>
  <c r="P242" i="2" s="1"/>
  <c r="Q242" i="2" s="1"/>
  <c r="R242" i="2" s="1"/>
  <c r="S242" i="2" s="1"/>
  <c r="T242" i="2" s="1"/>
  <c r="U242" i="2" s="1"/>
  <c r="J240" i="2"/>
  <c r="K240" i="2" s="1"/>
  <c r="L240" i="2" s="1"/>
  <c r="M240" i="2" s="1"/>
  <c r="N240" i="2" s="1"/>
  <c r="O240" i="2" s="1"/>
  <c r="P240" i="2" s="1"/>
  <c r="Q240" i="2" s="1"/>
  <c r="R240" i="2" s="1"/>
  <c r="S240" i="2" s="1"/>
  <c r="J201" i="2"/>
  <c r="K201" i="2" s="1"/>
  <c r="L201" i="2" s="1"/>
  <c r="M201" i="2" s="1"/>
  <c r="N201" i="2" s="1"/>
  <c r="O201" i="2" s="1"/>
  <c r="P201" i="2" s="1"/>
  <c r="Q201" i="2" s="1"/>
  <c r="R201" i="2" s="1"/>
  <c r="S201" i="2" s="1"/>
  <c r="T201" i="2" s="1"/>
  <c r="U201" i="2" s="1"/>
  <c r="J202" i="2"/>
  <c r="K202" i="2" s="1"/>
  <c r="L202" i="2" s="1"/>
  <c r="M202" i="2" s="1"/>
  <c r="N202" i="2" s="1"/>
  <c r="O202" i="2" s="1"/>
  <c r="P202" i="2" s="1"/>
  <c r="Q202" i="2" s="1"/>
  <c r="R202" i="2" s="1"/>
  <c r="S202" i="2" s="1"/>
  <c r="T202" i="2" s="1"/>
  <c r="U202" i="2" s="1"/>
  <c r="J200" i="2"/>
  <c r="K200" i="2" s="1"/>
  <c r="L200" i="2" s="1"/>
  <c r="M200" i="2" s="1"/>
  <c r="N200" i="2" s="1"/>
  <c r="O200" i="2" s="1"/>
  <c r="P200" i="2" s="1"/>
  <c r="Q200" i="2" s="1"/>
  <c r="R200" i="2" s="1"/>
  <c r="S200" i="2" s="1"/>
  <c r="J231" i="2"/>
  <c r="K231" i="2" s="1"/>
  <c r="L231" i="2" s="1"/>
  <c r="M231" i="2" s="1"/>
  <c r="N231" i="2" s="1"/>
  <c r="O231" i="2" s="1"/>
  <c r="P231" i="2" s="1"/>
  <c r="Q231" i="2" s="1"/>
  <c r="R231" i="2" s="1"/>
  <c r="S231" i="2" s="1"/>
  <c r="T231" i="2" s="1"/>
  <c r="U231" i="2" s="1"/>
  <c r="J232" i="2"/>
  <c r="K232" i="2" s="1"/>
  <c r="L232" i="2" s="1"/>
  <c r="M232" i="2" s="1"/>
  <c r="N232" i="2" s="1"/>
  <c r="O232" i="2" s="1"/>
  <c r="P232" i="2" s="1"/>
  <c r="Q232" i="2" s="1"/>
  <c r="R232" i="2" s="1"/>
  <c r="S232" i="2" s="1"/>
  <c r="T232" i="2" s="1"/>
  <c r="U232" i="2" s="1"/>
  <c r="J230" i="2"/>
  <c r="K230" i="2" s="1"/>
  <c r="L230" i="2" s="1"/>
  <c r="M230" i="2" s="1"/>
  <c r="N230" i="2" s="1"/>
  <c r="O230" i="2" s="1"/>
  <c r="P230" i="2" s="1"/>
  <c r="Q230" i="2" s="1"/>
  <c r="R230" i="2" s="1"/>
  <c r="S230" i="2" s="1"/>
  <c r="I244" i="2"/>
  <c r="I234" i="2"/>
  <c r="I204" i="2"/>
  <c r="J212" i="2"/>
  <c r="K212" i="2" s="1"/>
  <c r="L212" i="2" s="1"/>
  <c r="M212" i="2" s="1"/>
  <c r="N212" i="2" s="1"/>
  <c r="O212" i="2" s="1"/>
  <c r="P212" i="2" s="1"/>
  <c r="Q212" i="2" s="1"/>
  <c r="R212" i="2" s="1"/>
  <c r="S212" i="2" s="1"/>
  <c r="T212" i="2" s="1"/>
  <c r="U212" i="2" s="1"/>
  <c r="J211" i="2"/>
  <c r="K211" i="2" s="1"/>
  <c r="L211" i="2" s="1"/>
  <c r="M211" i="2" s="1"/>
  <c r="N211" i="2" s="1"/>
  <c r="O211" i="2" s="1"/>
  <c r="P211" i="2" s="1"/>
  <c r="Q211" i="2" s="1"/>
  <c r="R211" i="2" s="1"/>
  <c r="S211" i="2" s="1"/>
  <c r="T211" i="2" s="1"/>
  <c r="U211" i="2" s="1"/>
  <c r="I214" i="2"/>
  <c r="J192" i="2"/>
  <c r="K192" i="2" s="1"/>
  <c r="L192" i="2" s="1"/>
  <c r="M192" i="2" s="1"/>
  <c r="N192" i="2" s="1"/>
  <c r="O192" i="2" s="1"/>
  <c r="P192" i="2" s="1"/>
  <c r="Q192" i="2" s="1"/>
  <c r="R192" i="2" s="1"/>
  <c r="S192" i="2" s="1"/>
  <c r="T192" i="2" s="1"/>
  <c r="U192" i="2" s="1"/>
  <c r="J191" i="2"/>
  <c r="K191" i="2" s="1"/>
  <c r="L191" i="2" s="1"/>
  <c r="M191" i="2" s="1"/>
  <c r="N191" i="2" s="1"/>
  <c r="O191" i="2" s="1"/>
  <c r="P191" i="2" s="1"/>
  <c r="Q191" i="2" s="1"/>
  <c r="R191" i="2" s="1"/>
  <c r="S191" i="2" s="1"/>
  <c r="T191" i="2" s="1"/>
  <c r="U191" i="2" s="1"/>
  <c r="J181" i="2"/>
  <c r="K181" i="2" s="1"/>
  <c r="L181" i="2" s="1"/>
  <c r="M181" i="2" s="1"/>
  <c r="N181" i="2" s="1"/>
  <c r="O181" i="2" s="1"/>
  <c r="P181" i="2" s="1"/>
  <c r="Q181" i="2" s="1"/>
  <c r="R181" i="2" s="1"/>
  <c r="S181" i="2" s="1"/>
  <c r="T181" i="2" s="1"/>
  <c r="U181" i="2" s="1"/>
  <c r="J182" i="2"/>
  <c r="K182" i="2" s="1"/>
  <c r="L182" i="2" s="1"/>
  <c r="M182" i="2" s="1"/>
  <c r="N182" i="2" s="1"/>
  <c r="O182" i="2" s="1"/>
  <c r="P182" i="2" s="1"/>
  <c r="Q182" i="2" s="1"/>
  <c r="R182" i="2" s="1"/>
  <c r="S182" i="2" s="1"/>
  <c r="T182" i="2" s="1"/>
  <c r="U182" i="2" s="1"/>
  <c r="J180" i="2"/>
  <c r="A1" i="1"/>
  <c r="A1" i="2"/>
  <c r="I174" i="2"/>
  <c r="I471" i="2" l="1"/>
  <c r="T435" i="2"/>
  <c r="T436" i="2" s="1"/>
  <c r="Q564" i="2"/>
  <c r="Q444" i="2"/>
  <c r="R482" i="2"/>
  <c r="J270" i="2"/>
  <c r="J300" i="2"/>
  <c r="J310" i="2"/>
  <c r="J320" i="2"/>
  <c r="J290" i="2"/>
  <c r="R443" i="2"/>
  <c r="Q489" i="2"/>
  <c r="Q563" i="2" s="1"/>
  <c r="S438" i="2"/>
  <c r="S439" i="2" s="1"/>
  <c r="J244" i="2"/>
  <c r="G49" i="1"/>
  <c r="G48" i="1"/>
  <c r="R437" i="2"/>
  <c r="S244" i="2"/>
  <c r="T240" i="2"/>
  <c r="S204" i="2"/>
  <c r="T200" i="2"/>
  <c r="S234" i="2"/>
  <c r="T230" i="2"/>
  <c r="R458" i="2"/>
  <c r="R459" i="2" s="1"/>
  <c r="R461" i="2" s="1"/>
  <c r="K266" i="2"/>
  <c r="K330" i="2"/>
  <c r="K316" i="2"/>
  <c r="K320" i="2" s="1"/>
  <c r="K296" i="2"/>
  <c r="L296" i="2" s="1"/>
  <c r="M296" i="2" s="1"/>
  <c r="K306" i="2"/>
  <c r="K310" i="2" s="1"/>
  <c r="J280" i="2"/>
  <c r="K286" i="2"/>
  <c r="K290" i="2" s="1"/>
  <c r="L280" i="2"/>
  <c r="M276" i="2"/>
  <c r="K280" i="2"/>
  <c r="J234" i="2"/>
  <c r="K244" i="2"/>
  <c r="K234" i="2"/>
  <c r="L234" i="2"/>
  <c r="J210" i="2"/>
  <c r="J214" i="2" s="1"/>
  <c r="J190" i="2"/>
  <c r="J194" i="2" s="1"/>
  <c r="K180" i="2"/>
  <c r="J184" i="2"/>
  <c r="G12" i="1"/>
  <c r="K439" i="2"/>
  <c r="K444" i="2" s="1"/>
  <c r="O458" i="2"/>
  <c r="O459" i="2" s="1"/>
  <c r="P458" i="2"/>
  <c r="P459" i="2" s="1"/>
  <c r="R400" i="2"/>
  <c r="Q400" i="2"/>
  <c r="P400" i="2"/>
  <c r="O400" i="2"/>
  <c r="N400" i="2"/>
  <c r="M400" i="2"/>
  <c r="L400" i="2"/>
  <c r="K400" i="2"/>
  <c r="J400" i="2"/>
  <c r="I400" i="2"/>
  <c r="R254" i="2"/>
  <c r="Q254" i="2"/>
  <c r="P254" i="2"/>
  <c r="O254" i="2"/>
  <c r="N254" i="2"/>
  <c r="M254" i="2"/>
  <c r="L254" i="2"/>
  <c r="K254" i="2"/>
  <c r="J254" i="2"/>
  <c r="I254" i="2"/>
  <c r="I224" i="2"/>
  <c r="J224" i="2"/>
  <c r="K224" i="2"/>
  <c r="L224" i="2"/>
  <c r="M224" i="2"/>
  <c r="N224" i="2"/>
  <c r="O224" i="2"/>
  <c r="P224" i="2"/>
  <c r="Q224" i="2"/>
  <c r="R224" i="2"/>
  <c r="J439" i="2" l="1"/>
  <c r="J444" i="2" s="1"/>
  <c r="J458" i="2"/>
  <c r="J459" i="2" s="1"/>
  <c r="U435" i="2"/>
  <c r="U436" i="2" s="1"/>
  <c r="R489" i="2"/>
  <c r="R563" i="2" s="1"/>
  <c r="R444" i="2"/>
  <c r="S482" i="2"/>
  <c r="R564" i="2"/>
  <c r="T438" i="2"/>
  <c r="T439" i="2" s="1"/>
  <c r="S443" i="2"/>
  <c r="S437" i="2"/>
  <c r="G14" i="1"/>
  <c r="F12" i="12"/>
  <c r="T204" i="2"/>
  <c r="U200" i="2"/>
  <c r="U204" i="2" s="1"/>
  <c r="T234" i="2"/>
  <c r="U230" i="2"/>
  <c r="U234" i="2" s="1"/>
  <c r="T244" i="2"/>
  <c r="U240" i="2"/>
  <c r="U244" i="2" s="1"/>
  <c r="T458" i="2"/>
  <c r="T459" i="2" s="1"/>
  <c r="L300" i="2"/>
  <c r="K300" i="2"/>
  <c r="L266" i="2"/>
  <c r="K270" i="2"/>
  <c r="L316" i="2"/>
  <c r="M316" i="2" s="1"/>
  <c r="L306" i="2"/>
  <c r="M306" i="2" s="1"/>
  <c r="L380" i="2"/>
  <c r="L330" i="2"/>
  <c r="L320" i="2"/>
  <c r="N296" i="2"/>
  <c r="M300" i="2"/>
  <c r="L286" i="2"/>
  <c r="M286" i="2" s="1"/>
  <c r="M280" i="2"/>
  <c r="N276" i="2"/>
  <c r="L244" i="2"/>
  <c r="M234" i="2"/>
  <c r="K190" i="2"/>
  <c r="K194" i="2" s="1"/>
  <c r="K210" i="2"/>
  <c r="L210" i="2" s="1"/>
  <c r="I470" i="2"/>
  <c r="I538" i="2" s="1"/>
  <c r="L180" i="2"/>
  <c r="K184" i="2"/>
  <c r="L204" i="2"/>
  <c r="S489" i="2" l="1"/>
  <c r="S563" i="2" s="1"/>
  <c r="S444" i="2"/>
  <c r="T482" i="2"/>
  <c r="U438" i="2"/>
  <c r="U439" i="2" s="1"/>
  <c r="T443" i="2"/>
  <c r="S564" i="2"/>
  <c r="G13" i="1"/>
  <c r="F68" i="12"/>
  <c r="T437" i="2"/>
  <c r="I516" i="2"/>
  <c r="F66" i="12" s="1"/>
  <c r="L290" i="2"/>
  <c r="L310" i="2"/>
  <c r="L270" i="2"/>
  <c r="M266" i="2"/>
  <c r="M380" i="2"/>
  <c r="J370" i="2"/>
  <c r="M330" i="2"/>
  <c r="N316" i="2"/>
  <c r="M320" i="2"/>
  <c r="N306" i="2"/>
  <c r="M310" i="2"/>
  <c r="N300" i="2"/>
  <c r="O296" i="2"/>
  <c r="N286" i="2"/>
  <c r="M290" i="2"/>
  <c r="N280" i="2"/>
  <c r="O276" i="2"/>
  <c r="I517" i="2"/>
  <c r="I518" i="2"/>
  <c r="M244" i="2"/>
  <c r="N234" i="2"/>
  <c r="L190" i="2"/>
  <c r="L194" i="2" s="1"/>
  <c r="K214" i="2"/>
  <c r="K204" i="2"/>
  <c r="J204" i="2"/>
  <c r="M210" i="2"/>
  <c r="L214" i="2"/>
  <c r="M180" i="2"/>
  <c r="L184" i="2"/>
  <c r="M204" i="2"/>
  <c r="U482" i="2" l="1"/>
  <c r="U562" i="2" s="1"/>
  <c r="T564" i="2"/>
  <c r="T444" i="2"/>
  <c r="U443" i="2"/>
  <c r="U444" i="2" s="1"/>
  <c r="G121" i="2"/>
  <c r="U437" i="2"/>
  <c r="G122" i="2" s="1"/>
  <c r="T489" i="2"/>
  <c r="T563" i="2" s="1"/>
  <c r="G120" i="2"/>
  <c r="G41" i="1"/>
  <c r="G19" i="1"/>
  <c r="I472" i="2"/>
  <c r="I524" i="2"/>
  <c r="N266" i="2"/>
  <c r="M270" i="2"/>
  <c r="N380" i="2"/>
  <c r="K370" i="2"/>
  <c r="N330" i="2"/>
  <c r="N320" i="2"/>
  <c r="O316" i="2"/>
  <c r="N310" i="2"/>
  <c r="O306" i="2"/>
  <c r="O300" i="2"/>
  <c r="P296" i="2"/>
  <c r="M190" i="2"/>
  <c r="M194" i="2" s="1"/>
  <c r="G20" i="1"/>
  <c r="I525" i="2"/>
  <c r="G21" i="1"/>
  <c r="I526" i="2"/>
  <c r="N290" i="2"/>
  <c r="O286" i="2"/>
  <c r="P276" i="2"/>
  <c r="O280" i="2"/>
  <c r="I520" i="2"/>
  <c r="N244" i="2"/>
  <c r="O234" i="2"/>
  <c r="N210" i="2"/>
  <c r="M214" i="2"/>
  <c r="N180" i="2"/>
  <c r="M184" i="2"/>
  <c r="N204" i="2"/>
  <c r="G135" i="2" l="1"/>
  <c r="G138" i="2" s="1"/>
  <c r="U489" i="2"/>
  <c r="U563" i="2" s="1"/>
  <c r="U564" i="2"/>
  <c r="G15" i="1"/>
  <c r="F13" i="12"/>
  <c r="G29" i="1"/>
  <c r="G27" i="1"/>
  <c r="G28" i="1"/>
  <c r="N190" i="2"/>
  <c r="O190" i="2" s="1"/>
  <c r="I540" i="2"/>
  <c r="I537" i="2"/>
  <c r="I539" i="2"/>
  <c r="F17" i="12"/>
  <c r="G23" i="1"/>
  <c r="I534" i="2"/>
  <c r="I535" i="2"/>
  <c r="I536" i="2"/>
  <c r="O266" i="2"/>
  <c r="N270" i="2"/>
  <c r="O380" i="2"/>
  <c r="O330" i="2"/>
  <c r="P316" i="2"/>
  <c r="O320" i="2"/>
  <c r="P306" i="2"/>
  <c r="O310" i="2"/>
  <c r="Q296" i="2"/>
  <c r="P300" i="2"/>
  <c r="I528" i="2"/>
  <c r="P286" i="2"/>
  <c r="O290" i="2"/>
  <c r="P280" i="2"/>
  <c r="Q276" i="2"/>
  <c r="O244" i="2"/>
  <c r="P234" i="2"/>
  <c r="N214" i="2"/>
  <c r="O210" i="2"/>
  <c r="O180" i="2"/>
  <c r="N184" i="2"/>
  <c r="O204" i="2"/>
  <c r="N194" i="2" l="1"/>
  <c r="G40" i="1"/>
  <c r="G42" i="1"/>
  <c r="G38" i="1"/>
  <c r="G37" i="1"/>
  <c r="G39" i="1"/>
  <c r="I530" i="2"/>
  <c r="F18" i="12"/>
  <c r="G31" i="1"/>
  <c r="I550" i="2"/>
  <c r="G51" i="1"/>
  <c r="I542" i="2"/>
  <c r="O270" i="2"/>
  <c r="P266" i="2"/>
  <c r="P380" i="2"/>
  <c r="L370" i="2"/>
  <c r="P330" i="2"/>
  <c r="Q316" i="2"/>
  <c r="P320" i="2"/>
  <c r="Q306" i="2"/>
  <c r="P310" i="2"/>
  <c r="R296" i="2"/>
  <c r="Q300" i="2"/>
  <c r="Q286" i="2"/>
  <c r="P290" i="2"/>
  <c r="Q280" i="2"/>
  <c r="R276" i="2"/>
  <c r="P244" i="2"/>
  <c r="R234" i="2"/>
  <c r="Q234" i="2"/>
  <c r="P210" i="2"/>
  <c r="O214" i="2"/>
  <c r="O194" i="2"/>
  <c r="P190" i="2"/>
  <c r="P180" i="2"/>
  <c r="O184" i="2"/>
  <c r="P204" i="2"/>
  <c r="I552" i="2" l="1"/>
  <c r="I502" i="2" s="1"/>
  <c r="F19" i="12"/>
  <c r="G44" i="1"/>
  <c r="F20" i="12"/>
  <c r="G54" i="1"/>
  <c r="R300" i="2"/>
  <c r="S296" i="2"/>
  <c r="R280" i="2"/>
  <c r="S276" i="2"/>
  <c r="Q266" i="2"/>
  <c r="P270" i="2"/>
  <c r="R380" i="2"/>
  <c r="Q380" i="2"/>
  <c r="M370" i="2"/>
  <c r="R330" i="2"/>
  <c r="Q330" i="2"/>
  <c r="R316" i="2"/>
  <c r="Q320" i="2"/>
  <c r="R306" i="2"/>
  <c r="Q310" i="2"/>
  <c r="R286" i="2"/>
  <c r="Q290" i="2"/>
  <c r="R244" i="2"/>
  <c r="Q244" i="2"/>
  <c r="Q210" i="2"/>
  <c r="P214" i="2"/>
  <c r="Q190" i="2"/>
  <c r="P194" i="2"/>
  <c r="Q180" i="2"/>
  <c r="P184" i="2"/>
  <c r="R204" i="2"/>
  <c r="Q204" i="2"/>
  <c r="G76" i="1" l="1"/>
  <c r="F22" i="12"/>
  <c r="G56" i="1"/>
  <c r="S280" i="2"/>
  <c r="T276" i="2"/>
  <c r="R320" i="2"/>
  <c r="S316" i="2"/>
  <c r="S300" i="2"/>
  <c r="T296" i="2"/>
  <c r="R290" i="2"/>
  <c r="S286" i="2"/>
  <c r="R310" i="2"/>
  <c r="S306" i="2"/>
  <c r="Q270" i="2"/>
  <c r="R266" i="2"/>
  <c r="N370" i="2"/>
  <c r="Q214" i="2"/>
  <c r="R210" i="2"/>
  <c r="Q194" i="2"/>
  <c r="R190" i="2"/>
  <c r="R180" i="2"/>
  <c r="Q184" i="2"/>
  <c r="G77" i="1" l="1"/>
  <c r="T300" i="2"/>
  <c r="U296" i="2"/>
  <c r="U300" i="2" s="1"/>
  <c r="T280" i="2"/>
  <c r="U276" i="2"/>
  <c r="U280" i="2" s="1"/>
  <c r="R214" i="2"/>
  <c r="S210" i="2"/>
  <c r="S320" i="2"/>
  <c r="T316" i="2"/>
  <c r="R184" i="2"/>
  <c r="S180" i="2"/>
  <c r="R270" i="2"/>
  <c r="S266" i="2"/>
  <c r="S310" i="2"/>
  <c r="T306" i="2"/>
  <c r="S290" i="2"/>
  <c r="T286" i="2"/>
  <c r="R194" i="2"/>
  <c r="S190" i="2"/>
  <c r="O370" i="2"/>
  <c r="T290" i="2" l="1"/>
  <c r="U286" i="2"/>
  <c r="U290" i="2" s="1"/>
  <c r="T320" i="2"/>
  <c r="U316" i="2"/>
  <c r="U320" i="2" s="1"/>
  <c r="T310" i="2"/>
  <c r="U306" i="2"/>
  <c r="U310" i="2" s="1"/>
  <c r="S270" i="2"/>
  <c r="T266" i="2"/>
  <c r="S194" i="2"/>
  <c r="T190" i="2"/>
  <c r="S184" i="2"/>
  <c r="T180" i="2"/>
  <c r="T210" i="2"/>
  <c r="S214" i="2"/>
  <c r="P370" i="2"/>
  <c r="T214" i="2" l="1"/>
  <c r="U210" i="2"/>
  <c r="U214" i="2" s="1"/>
  <c r="T270" i="2"/>
  <c r="U266" i="2"/>
  <c r="U270" i="2" s="1"/>
  <c r="T194" i="2"/>
  <c r="U190" i="2"/>
  <c r="U194" i="2" s="1"/>
  <c r="T184" i="2"/>
  <c r="U180" i="2"/>
  <c r="U184" i="2" s="1"/>
  <c r="Q370" i="2"/>
  <c r="R370" i="2"/>
  <c r="J174" i="2" l="1"/>
  <c r="K174" i="2" s="1"/>
  <c r="L174" i="2" s="1"/>
  <c r="M174" i="2" s="1"/>
  <c r="N174" i="2" s="1"/>
  <c r="O174" i="2" s="1"/>
  <c r="P174" i="2" s="1"/>
  <c r="Q174" i="2" s="1"/>
  <c r="R174" i="2" s="1"/>
  <c r="S174" i="2" s="1"/>
  <c r="T174" i="2" s="1"/>
  <c r="U174" i="2" s="1"/>
  <c r="G33" i="1" l="1"/>
  <c r="G136" i="2" l="1"/>
  <c r="I448" i="2" l="1"/>
  <c r="I445" i="2" s="1"/>
  <c r="J448" i="2" l="1"/>
  <c r="J445" i="2" s="1"/>
  <c r="I568" i="2"/>
  <c r="I449" i="2"/>
  <c r="I446" i="2" s="1"/>
  <c r="K448" i="2" l="1"/>
  <c r="K445" i="2" s="1"/>
  <c r="J449" i="2"/>
  <c r="J494" i="2"/>
  <c r="I447" i="2"/>
  <c r="J446" i="2" s="1"/>
  <c r="J447" i="2"/>
  <c r="J461" i="2"/>
  <c r="J469" i="2" s="1"/>
  <c r="F28" i="12"/>
  <c r="J568" i="2"/>
  <c r="G28" i="12" s="1"/>
  <c r="G64" i="1"/>
  <c r="K494" i="2" l="1"/>
  <c r="K447" i="2"/>
  <c r="K449" i="2"/>
  <c r="L448" i="2"/>
  <c r="L445" i="2" s="1"/>
  <c r="G11" i="12"/>
  <c r="H12" i="1"/>
  <c r="L568" i="2"/>
  <c r="J64" i="1" s="1"/>
  <c r="K461" i="2"/>
  <c r="K469" i="2" s="1"/>
  <c r="J468" i="2"/>
  <c r="J548" i="2"/>
  <c r="J547" i="2"/>
  <c r="J546" i="2"/>
  <c r="K568" i="2"/>
  <c r="H28" i="12" s="1"/>
  <c r="H64" i="1"/>
  <c r="K446" i="2" l="1"/>
  <c r="L447" i="2"/>
  <c r="L449" i="2"/>
  <c r="M448" i="2"/>
  <c r="M445" i="2" s="1"/>
  <c r="L494" i="2"/>
  <c r="L446" i="2"/>
  <c r="G67" i="12"/>
  <c r="J471" i="2"/>
  <c r="M568" i="2"/>
  <c r="K64" i="1" s="1"/>
  <c r="H11" i="12"/>
  <c r="I12" i="1"/>
  <c r="J470" i="2"/>
  <c r="H11" i="1"/>
  <c r="I64" i="1"/>
  <c r="H50" i="1"/>
  <c r="M461" i="2"/>
  <c r="M469" i="2" s="1"/>
  <c r="L461" i="2"/>
  <c r="L469" i="2" s="1"/>
  <c r="H48" i="1"/>
  <c r="J550" i="2"/>
  <c r="K468" i="2"/>
  <c r="K548" i="2"/>
  <c r="I50" i="1" s="1"/>
  <c r="K547" i="2"/>
  <c r="I49" i="1" s="1"/>
  <c r="K546" i="2"/>
  <c r="H49" i="1"/>
  <c r="I28" i="12"/>
  <c r="J517" i="2" l="1"/>
  <c r="J525" i="2" s="1"/>
  <c r="H28" i="1" s="1"/>
  <c r="J538" i="2"/>
  <c r="H41" i="1" s="1"/>
  <c r="M447" i="2"/>
  <c r="M494" i="2"/>
  <c r="N448" i="2"/>
  <c r="N445" i="2" s="1"/>
  <c r="M449" i="2"/>
  <c r="M446" i="2"/>
  <c r="H67" i="12"/>
  <c r="K471" i="2"/>
  <c r="H14" i="1"/>
  <c r="G12" i="12"/>
  <c r="N568" i="2"/>
  <c r="K28" i="12" s="1"/>
  <c r="N461" i="2"/>
  <c r="N469" i="2" s="1"/>
  <c r="J518" i="2"/>
  <c r="J526" i="2" s="1"/>
  <c r="H29" i="1" s="1"/>
  <c r="J516" i="2"/>
  <c r="G66" i="12" s="1"/>
  <c r="H13" i="1"/>
  <c r="G68" i="12"/>
  <c r="I11" i="12"/>
  <c r="J12" i="1"/>
  <c r="J11" i="12"/>
  <c r="K12" i="1"/>
  <c r="K470" i="2"/>
  <c r="I11" i="1"/>
  <c r="G20" i="12"/>
  <c r="H54" i="1"/>
  <c r="M468" i="2"/>
  <c r="M548" i="2"/>
  <c r="K50" i="1" s="1"/>
  <c r="M547" i="2"/>
  <c r="K49" i="1" s="1"/>
  <c r="M546" i="2"/>
  <c r="L468" i="2"/>
  <c r="L548" i="2"/>
  <c r="J50" i="1" s="1"/>
  <c r="L547" i="2"/>
  <c r="L546" i="2"/>
  <c r="I48" i="1"/>
  <c r="K550" i="2"/>
  <c r="J28" i="12"/>
  <c r="H20" i="1" l="1"/>
  <c r="K538" i="2"/>
  <c r="I41" i="1" s="1"/>
  <c r="N447" i="2"/>
  <c r="O448" i="2"/>
  <c r="N449" i="2"/>
  <c r="N494" i="2"/>
  <c r="I67" i="12"/>
  <c r="L471" i="2"/>
  <c r="J67" i="12"/>
  <c r="M471" i="2"/>
  <c r="I14" i="1"/>
  <c r="H12" i="12"/>
  <c r="O461" i="2"/>
  <c r="O469" i="2" s="1"/>
  <c r="K517" i="2"/>
  <c r="K525" i="2" s="1"/>
  <c r="I28" i="1" s="1"/>
  <c r="H21" i="1"/>
  <c r="J524" i="2"/>
  <c r="J528" i="2" s="1"/>
  <c r="J520" i="2"/>
  <c r="J534" i="2" s="1"/>
  <c r="J472" i="2"/>
  <c r="H19" i="1"/>
  <c r="K11" i="12"/>
  <c r="L12" i="1"/>
  <c r="I13" i="1"/>
  <c r="H68" i="12"/>
  <c r="K518" i="2"/>
  <c r="I21" i="1" s="1"/>
  <c r="K516" i="2"/>
  <c r="I19" i="1" s="1"/>
  <c r="L470" i="2"/>
  <c r="L538" i="2" s="1"/>
  <c r="J11" i="1"/>
  <c r="M470" i="2"/>
  <c r="K11" i="1"/>
  <c r="K48" i="1"/>
  <c r="M550" i="2"/>
  <c r="J48" i="1"/>
  <c r="L550" i="2"/>
  <c r="N468" i="2"/>
  <c r="N548" i="2"/>
  <c r="N547" i="2"/>
  <c r="L49" i="1" s="1"/>
  <c r="N546" i="2"/>
  <c r="I54" i="1"/>
  <c r="H20" i="12"/>
  <c r="J49" i="1"/>
  <c r="L64" i="1"/>
  <c r="M517" i="2" l="1"/>
  <c r="K20" i="1" s="1"/>
  <c r="M538" i="2"/>
  <c r="O449" i="2"/>
  <c r="O445" i="2" s="1"/>
  <c r="O446" i="2" s="1"/>
  <c r="N446" i="2"/>
  <c r="P448" i="2"/>
  <c r="K14" i="1"/>
  <c r="J12" i="12"/>
  <c r="K67" i="12"/>
  <c r="N471" i="2"/>
  <c r="J14" i="1"/>
  <c r="I12" i="12"/>
  <c r="H15" i="1"/>
  <c r="P461" i="2"/>
  <c r="P469" i="2" s="1"/>
  <c r="H27" i="1"/>
  <c r="H23" i="1"/>
  <c r="I20" i="1"/>
  <c r="J540" i="2"/>
  <c r="H42" i="1" s="1"/>
  <c r="J536" i="2"/>
  <c r="H39" i="1" s="1"/>
  <c r="J535" i="2"/>
  <c r="H38" i="1" s="1"/>
  <c r="G17" i="12"/>
  <c r="J539" i="2"/>
  <c r="H51" i="1" s="1"/>
  <c r="J537" i="2"/>
  <c r="H40" i="1" s="1"/>
  <c r="G13" i="12"/>
  <c r="K526" i="2"/>
  <c r="I29" i="1" s="1"/>
  <c r="L11" i="12"/>
  <c r="M12" i="1"/>
  <c r="K13" i="1"/>
  <c r="J68" i="12"/>
  <c r="J13" i="1"/>
  <c r="I68" i="12"/>
  <c r="K524" i="2"/>
  <c r="I27" i="1" s="1"/>
  <c r="H66" i="12"/>
  <c r="K472" i="2"/>
  <c r="K41" i="1"/>
  <c r="K520" i="2"/>
  <c r="K540" i="2" s="1"/>
  <c r="I42" i="1" s="1"/>
  <c r="I76" i="1" s="1"/>
  <c r="M518" i="2"/>
  <c r="K21" i="1" s="1"/>
  <c r="L516" i="2"/>
  <c r="I66" i="12" s="1"/>
  <c r="L517" i="2"/>
  <c r="J20" i="1" s="1"/>
  <c r="N470" i="2"/>
  <c r="L11" i="1"/>
  <c r="J41" i="1"/>
  <c r="M516" i="2"/>
  <c r="M524" i="2" s="1"/>
  <c r="L518" i="2"/>
  <c r="L526" i="2" s="1"/>
  <c r="J29" i="1" s="1"/>
  <c r="H37" i="1"/>
  <c r="L48" i="1"/>
  <c r="N550" i="2"/>
  <c r="O468" i="2"/>
  <c r="O548" i="2"/>
  <c r="M50" i="1" s="1"/>
  <c r="O547" i="2"/>
  <c r="O546" i="2"/>
  <c r="J530" i="2"/>
  <c r="G18" i="12"/>
  <c r="H31" i="1"/>
  <c r="L50" i="1"/>
  <c r="I20" i="12"/>
  <c r="J54" i="1"/>
  <c r="J20" i="12"/>
  <c r="K54" i="1"/>
  <c r="M525" i="2" l="1"/>
  <c r="K28" i="1" s="1"/>
  <c r="N517" i="2"/>
  <c r="N525" i="2" s="1"/>
  <c r="L28" i="1" s="1"/>
  <c r="N538" i="2"/>
  <c r="L41" i="1" s="1"/>
  <c r="P449" i="2"/>
  <c r="P445" i="2" s="1"/>
  <c r="P447" i="2" s="1"/>
  <c r="Q448" i="2"/>
  <c r="O447" i="2"/>
  <c r="L14" i="1"/>
  <c r="K12" i="12"/>
  <c r="L67" i="12"/>
  <c r="O471" i="2"/>
  <c r="H76" i="1"/>
  <c r="H33" i="1"/>
  <c r="J542" i="2"/>
  <c r="J552" i="2" s="1"/>
  <c r="J502" i="2" s="1"/>
  <c r="K528" i="2"/>
  <c r="H18" i="12" s="1"/>
  <c r="L525" i="2"/>
  <c r="J28" i="1" s="1"/>
  <c r="L524" i="2"/>
  <c r="J27" i="1" s="1"/>
  <c r="N516" i="2"/>
  <c r="K66" i="12" s="1"/>
  <c r="L472" i="2"/>
  <c r="N518" i="2"/>
  <c r="L21" i="1" s="1"/>
  <c r="K537" i="2"/>
  <c r="I40" i="1" s="1"/>
  <c r="I23" i="1"/>
  <c r="K534" i="2"/>
  <c r="I37" i="1" s="1"/>
  <c r="H17" i="12"/>
  <c r="K536" i="2"/>
  <c r="I39" i="1" s="1"/>
  <c r="K539" i="2"/>
  <c r="I51" i="1" s="1"/>
  <c r="K535" i="2"/>
  <c r="I38" i="1" s="1"/>
  <c r="J19" i="1"/>
  <c r="J21" i="1"/>
  <c r="L13" i="1"/>
  <c r="K68" i="12"/>
  <c r="K19" i="1"/>
  <c r="J66" i="12"/>
  <c r="M11" i="12"/>
  <c r="N12" i="1"/>
  <c r="L520" i="2"/>
  <c r="L535" i="2" s="1"/>
  <c r="J38" i="1" s="1"/>
  <c r="M526" i="2"/>
  <c r="K29" i="1" s="1"/>
  <c r="M520" i="2"/>
  <c r="M537" i="2" s="1"/>
  <c r="K40" i="1" s="1"/>
  <c r="M472" i="2"/>
  <c r="I15" i="1"/>
  <c r="H13" i="12"/>
  <c r="O470" i="2"/>
  <c r="M11" i="1"/>
  <c r="M49" i="1"/>
  <c r="L54" i="1"/>
  <c r="K20" i="12"/>
  <c r="P468" i="2"/>
  <c r="P548" i="2"/>
  <c r="P547" i="2"/>
  <c r="N49" i="1" s="1"/>
  <c r="P546" i="2"/>
  <c r="K27" i="1"/>
  <c r="Q461" i="2"/>
  <c r="Q469" i="2" s="1"/>
  <c r="M48" i="1"/>
  <c r="O550" i="2"/>
  <c r="Q568" i="2"/>
  <c r="O64" i="1" s="1"/>
  <c r="L20" i="1" l="1"/>
  <c r="O517" i="2"/>
  <c r="M20" i="1" s="1"/>
  <c r="O538" i="2"/>
  <c r="M41" i="1" s="1"/>
  <c r="R448" i="2"/>
  <c r="R449" i="2" s="1"/>
  <c r="Q449" i="2"/>
  <c r="Q445" i="2" s="1"/>
  <c r="Q447" i="2" s="1"/>
  <c r="P446" i="2"/>
  <c r="M14" i="1"/>
  <c r="L12" i="12"/>
  <c r="M67" i="12"/>
  <c r="P471" i="2"/>
  <c r="J15" i="1"/>
  <c r="L528" i="2"/>
  <c r="J31" i="1" s="1"/>
  <c r="G19" i="12"/>
  <c r="H44" i="1"/>
  <c r="N524" i="2"/>
  <c r="L27" i="1" s="1"/>
  <c r="I31" i="1"/>
  <c r="K530" i="2"/>
  <c r="H56" i="1"/>
  <c r="G22" i="12"/>
  <c r="N526" i="2"/>
  <c r="L29" i="1" s="1"/>
  <c r="N520" i="2"/>
  <c r="K17" i="12" s="1"/>
  <c r="M539" i="2"/>
  <c r="K51" i="1" s="1"/>
  <c r="O518" i="2"/>
  <c r="M21" i="1" s="1"/>
  <c r="J17" i="12"/>
  <c r="I13" i="12"/>
  <c r="M535" i="2"/>
  <c r="K38" i="1" s="1"/>
  <c r="M536" i="2"/>
  <c r="K39" i="1" s="1"/>
  <c r="L19" i="1"/>
  <c r="N472" i="2"/>
  <c r="K542" i="2"/>
  <c r="H19" i="12" s="1"/>
  <c r="L540" i="2"/>
  <c r="J42" i="1" s="1"/>
  <c r="K23" i="1"/>
  <c r="M534" i="2"/>
  <c r="K37" i="1" s="1"/>
  <c r="J23" i="1"/>
  <c r="M540" i="2"/>
  <c r="K42" i="1" s="1"/>
  <c r="K76" i="1" s="1"/>
  <c r="L534" i="2"/>
  <c r="J37" i="1" s="1"/>
  <c r="L537" i="2"/>
  <c r="J40" i="1" s="1"/>
  <c r="L536" i="2"/>
  <c r="J39" i="1" s="1"/>
  <c r="L539" i="2"/>
  <c r="J51" i="1" s="1"/>
  <c r="I17" i="12"/>
  <c r="N11" i="12"/>
  <c r="O12" i="1"/>
  <c r="M13" i="1"/>
  <c r="L68" i="12"/>
  <c r="K15" i="1"/>
  <c r="J13" i="12"/>
  <c r="M528" i="2"/>
  <c r="K31" i="1" s="1"/>
  <c r="O516" i="2"/>
  <c r="M19" i="1" s="1"/>
  <c r="P470" i="2"/>
  <c r="N11" i="1"/>
  <c r="N50" i="1"/>
  <c r="R469" i="2"/>
  <c r="M54" i="1"/>
  <c r="L20" i="12"/>
  <c r="Q468" i="2"/>
  <c r="Q548" i="2"/>
  <c r="O50" i="1" s="1"/>
  <c r="Q547" i="2"/>
  <c r="O49" i="1" s="1"/>
  <c r="Q546" i="2"/>
  <c r="N48" i="1"/>
  <c r="P550" i="2"/>
  <c r="N28" i="12"/>
  <c r="O525" i="2" l="1"/>
  <c r="M28" i="1" s="1"/>
  <c r="P517" i="2"/>
  <c r="N20" i="1" s="1"/>
  <c r="P538" i="2"/>
  <c r="N41" i="1" s="1"/>
  <c r="S448" i="2"/>
  <c r="S445" i="2" s="1"/>
  <c r="R445" i="2"/>
  <c r="R447" i="2" s="1"/>
  <c r="Q446" i="2"/>
  <c r="N14" i="1"/>
  <c r="M12" i="12"/>
  <c r="N67" i="12"/>
  <c r="Q471" i="2"/>
  <c r="K13" i="12"/>
  <c r="I18" i="12"/>
  <c r="H77" i="1"/>
  <c r="I33" i="1"/>
  <c r="J76" i="1"/>
  <c r="L530" i="2"/>
  <c r="N528" i="2"/>
  <c r="N530" i="2" s="1"/>
  <c r="O526" i="2"/>
  <c r="M29" i="1" s="1"/>
  <c r="K552" i="2"/>
  <c r="K502" i="2" s="1"/>
  <c r="N537" i="2"/>
  <c r="L40" i="1" s="1"/>
  <c r="N535" i="2"/>
  <c r="L38" i="1" s="1"/>
  <c r="N539" i="2"/>
  <c r="L51" i="1" s="1"/>
  <c r="N540" i="2"/>
  <c r="L42" i="1" s="1"/>
  <c r="L76" i="1" s="1"/>
  <c r="L23" i="1"/>
  <c r="N534" i="2"/>
  <c r="L37" i="1" s="1"/>
  <c r="N536" i="2"/>
  <c r="L39" i="1" s="1"/>
  <c r="I44" i="1"/>
  <c r="L15" i="1"/>
  <c r="O524" i="2"/>
  <c r="J18" i="12"/>
  <c r="M530" i="2"/>
  <c r="J33" i="1"/>
  <c r="K33" i="1"/>
  <c r="M542" i="2"/>
  <c r="L542" i="2"/>
  <c r="J44" i="1" s="1"/>
  <c r="N13" i="1"/>
  <c r="M68" i="12"/>
  <c r="O472" i="2"/>
  <c r="L66" i="12"/>
  <c r="O11" i="12"/>
  <c r="P12" i="1"/>
  <c r="O520" i="2"/>
  <c r="L17" i="12" s="1"/>
  <c r="P516" i="2"/>
  <c r="P524" i="2" s="1"/>
  <c r="P518" i="2"/>
  <c r="Q470" i="2"/>
  <c r="O11" i="1"/>
  <c r="O48" i="1"/>
  <c r="Q550" i="2"/>
  <c r="M20" i="12"/>
  <c r="N54" i="1"/>
  <c r="S461" i="2"/>
  <c r="S469" i="2" s="1"/>
  <c r="R468" i="2"/>
  <c r="R548" i="2"/>
  <c r="R547" i="2"/>
  <c r="P49" i="1" s="1"/>
  <c r="R546" i="2"/>
  <c r="P525" i="2" l="1"/>
  <c r="N28" i="1" s="1"/>
  <c r="Q518" i="2"/>
  <c r="Q526" i="2" s="1"/>
  <c r="O29" i="1" s="1"/>
  <c r="Q538" i="2"/>
  <c r="S447" i="2"/>
  <c r="S449" i="2"/>
  <c r="T448" i="2"/>
  <c r="R446" i="2"/>
  <c r="S446" i="2"/>
  <c r="O14" i="1"/>
  <c r="N12" i="12"/>
  <c r="O67" i="12"/>
  <c r="R471" i="2"/>
  <c r="L13" i="12"/>
  <c r="H22" i="12"/>
  <c r="M15" i="1"/>
  <c r="I56" i="1"/>
  <c r="L31" i="1"/>
  <c r="L33" i="1" s="1"/>
  <c r="O528" i="2"/>
  <c r="M31" i="1" s="1"/>
  <c r="K18" i="12"/>
  <c r="M27" i="1"/>
  <c r="N542" i="2"/>
  <c r="L44" i="1" s="1"/>
  <c r="O534" i="2"/>
  <c r="M37" i="1" s="1"/>
  <c r="O41" i="1"/>
  <c r="I19" i="12"/>
  <c r="O535" i="2"/>
  <c r="M38" i="1" s="1"/>
  <c r="L552" i="2"/>
  <c r="L502" i="2" s="1"/>
  <c r="O537" i="2"/>
  <c r="M40" i="1" s="1"/>
  <c r="O540" i="2"/>
  <c r="M42" i="1" s="1"/>
  <c r="M76" i="1" s="1"/>
  <c r="M552" i="2"/>
  <c r="M502" i="2" s="1"/>
  <c r="J19" i="12"/>
  <c r="K44" i="1"/>
  <c r="P472" i="2"/>
  <c r="M66" i="12"/>
  <c r="P11" i="12"/>
  <c r="Q12" i="1"/>
  <c r="O13" i="1"/>
  <c r="N68" i="12"/>
  <c r="M23" i="1"/>
  <c r="Q516" i="2"/>
  <c r="Q472" i="2" s="1"/>
  <c r="P520" i="2"/>
  <c r="P536" i="2" s="1"/>
  <c r="N39" i="1" s="1"/>
  <c r="N19" i="1"/>
  <c r="O539" i="2"/>
  <c r="M51" i="1" s="1"/>
  <c r="O536" i="2"/>
  <c r="M39" i="1" s="1"/>
  <c r="Q517" i="2"/>
  <c r="Q525" i="2" s="1"/>
  <c r="O28" i="1" s="1"/>
  <c r="P526" i="2"/>
  <c r="N29" i="1" s="1"/>
  <c r="N21" i="1"/>
  <c r="R470" i="2"/>
  <c r="P11" i="1"/>
  <c r="T461" i="2"/>
  <c r="T469" i="2" s="1"/>
  <c r="P48" i="1"/>
  <c r="R550" i="2"/>
  <c r="S468" i="2"/>
  <c r="S547" i="2"/>
  <c r="Q49" i="1" s="1"/>
  <c r="S546" i="2"/>
  <c r="S548" i="2"/>
  <c r="Q50" i="1" s="1"/>
  <c r="O54" i="1"/>
  <c r="N20" i="12"/>
  <c r="N27" i="1"/>
  <c r="P50" i="1"/>
  <c r="O21" i="1" l="1"/>
  <c r="R518" i="2"/>
  <c r="P21" i="1" s="1"/>
  <c r="R538" i="2"/>
  <c r="P41" i="1" s="1"/>
  <c r="U448" i="2"/>
  <c r="U445" i="2" s="1"/>
  <c r="U447" i="2" s="1"/>
  <c r="T449" i="2"/>
  <c r="T445" i="2" s="1"/>
  <c r="O12" i="12"/>
  <c r="P14" i="1"/>
  <c r="P67" i="12"/>
  <c r="S471" i="2"/>
  <c r="M13" i="12"/>
  <c r="I77" i="1"/>
  <c r="J56" i="1"/>
  <c r="J77" i="1" s="1"/>
  <c r="J22" i="12"/>
  <c r="I22" i="12"/>
  <c r="L18" i="12"/>
  <c r="O530" i="2"/>
  <c r="K19" i="12"/>
  <c r="N552" i="2"/>
  <c r="N502" i="2" s="1"/>
  <c r="K56" i="1"/>
  <c r="K77" i="1" s="1"/>
  <c r="N15" i="1"/>
  <c r="M33" i="1"/>
  <c r="R517" i="2"/>
  <c r="R525" i="2" s="1"/>
  <c r="P28" i="1" s="1"/>
  <c r="R516" i="2"/>
  <c r="O66" i="12" s="1"/>
  <c r="O20" i="1"/>
  <c r="P534" i="2"/>
  <c r="N37" i="1" s="1"/>
  <c r="N23" i="1"/>
  <c r="P539" i="2"/>
  <c r="N51" i="1" s="1"/>
  <c r="P535" i="2"/>
  <c r="N38" i="1" s="1"/>
  <c r="P540" i="2"/>
  <c r="N42" i="1" s="1"/>
  <c r="N76" i="1" s="1"/>
  <c r="M17" i="12"/>
  <c r="P13" i="1"/>
  <c r="O68" i="12"/>
  <c r="Q11" i="12"/>
  <c r="R12" i="1"/>
  <c r="Q520" i="2"/>
  <c r="O23" i="1" s="1"/>
  <c r="N66" i="12"/>
  <c r="O19" i="1"/>
  <c r="P528" i="2"/>
  <c r="P530" i="2" s="1"/>
  <c r="Q524" i="2"/>
  <c r="O27" i="1" s="1"/>
  <c r="O542" i="2"/>
  <c r="L19" i="12" s="1"/>
  <c r="O15" i="1"/>
  <c r="N13" i="12"/>
  <c r="P537" i="2"/>
  <c r="N40" i="1" s="1"/>
  <c r="S470" i="2"/>
  <c r="Q11" i="1"/>
  <c r="U461" i="2"/>
  <c r="U469" i="2" s="1"/>
  <c r="P54" i="1"/>
  <c r="O20" i="12"/>
  <c r="T468" i="2"/>
  <c r="T546" i="2"/>
  <c r="T547" i="2"/>
  <c r="R49" i="1" s="1"/>
  <c r="T548" i="2"/>
  <c r="R50" i="1" s="1"/>
  <c r="Q48" i="1"/>
  <c r="S550" i="2"/>
  <c r="R526" i="2" l="1"/>
  <c r="P29" i="1" s="1"/>
  <c r="S517" i="2"/>
  <c r="S525" i="2" s="1"/>
  <c r="Q28" i="1" s="1"/>
  <c r="S538" i="2"/>
  <c r="Q41" i="1" s="1"/>
  <c r="T446" i="2"/>
  <c r="T447" i="2"/>
  <c r="U449" i="2"/>
  <c r="U446" i="2" s="1"/>
  <c r="Q534" i="2"/>
  <c r="O37" i="1" s="1"/>
  <c r="Q14" i="1"/>
  <c r="P12" i="12"/>
  <c r="Q67" i="12"/>
  <c r="T471" i="2"/>
  <c r="R11" i="12"/>
  <c r="S12" i="1"/>
  <c r="L56" i="1"/>
  <c r="L77" i="1" s="1"/>
  <c r="K22" i="12"/>
  <c r="R472" i="2"/>
  <c r="P15" i="1" s="1"/>
  <c r="Q528" i="2"/>
  <c r="N18" i="12" s="1"/>
  <c r="Q540" i="2"/>
  <c r="O42" i="1" s="1"/>
  <c r="O76" i="1" s="1"/>
  <c r="N31" i="1"/>
  <c r="N33" i="1" s="1"/>
  <c r="P20" i="1"/>
  <c r="R524" i="2"/>
  <c r="P27" i="1" s="1"/>
  <c r="Q539" i="2"/>
  <c r="O51" i="1" s="1"/>
  <c r="Q535" i="2"/>
  <c r="O38" i="1" s="1"/>
  <c r="R520" i="2"/>
  <c r="O17" i="12" s="1"/>
  <c r="P19" i="1"/>
  <c r="Q536" i="2"/>
  <c r="O39" i="1" s="1"/>
  <c r="M18" i="12"/>
  <c r="Q537" i="2"/>
  <c r="O40" i="1" s="1"/>
  <c r="N17" i="12"/>
  <c r="O552" i="2"/>
  <c r="O502" i="2" s="1"/>
  <c r="Q13" i="1"/>
  <c r="P68" i="12"/>
  <c r="S516" i="2"/>
  <c r="S524" i="2" s="1"/>
  <c r="M44" i="1"/>
  <c r="P542" i="2"/>
  <c r="P552" i="2" s="1"/>
  <c r="P502" i="2" s="1"/>
  <c r="S518" i="2"/>
  <c r="Q21" i="1" s="1"/>
  <c r="T470" i="2"/>
  <c r="R11" i="1"/>
  <c r="Q54" i="1"/>
  <c r="P20" i="12"/>
  <c r="R48" i="1"/>
  <c r="T550" i="2"/>
  <c r="U468" i="2"/>
  <c r="U471" i="2" s="1"/>
  <c r="U548" i="2"/>
  <c r="U546" i="2"/>
  <c r="S48" i="1" s="1"/>
  <c r="U547" i="2"/>
  <c r="L562" i="2"/>
  <c r="M562" i="2"/>
  <c r="N562" i="2"/>
  <c r="O562" i="2"/>
  <c r="P562" i="2"/>
  <c r="Q562" i="2"/>
  <c r="R562" i="2"/>
  <c r="S562" i="2"/>
  <c r="T562" i="2"/>
  <c r="Q20" i="1" l="1"/>
  <c r="Q530" i="2"/>
  <c r="T517" i="2"/>
  <c r="T525" i="2" s="1"/>
  <c r="R28" i="1" s="1"/>
  <c r="T538" i="2"/>
  <c r="R41" i="1" s="1"/>
  <c r="P568" i="2"/>
  <c r="N64" i="1" s="1"/>
  <c r="O568" i="2"/>
  <c r="L28" i="12" s="1"/>
  <c r="R14" i="1"/>
  <c r="Q12" i="12"/>
  <c r="R12" i="12"/>
  <c r="S14" i="1"/>
  <c r="O13" i="12"/>
  <c r="AB740" i="2"/>
  <c r="S49" i="1"/>
  <c r="W49" i="1" s="1"/>
  <c r="W48" i="1"/>
  <c r="AB741" i="2"/>
  <c r="S50" i="1"/>
  <c r="W50" i="1" s="1"/>
  <c r="U470" i="2"/>
  <c r="R67" i="12"/>
  <c r="U67" i="12" s="1"/>
  <c r="S11" i="1"/>
  <c r="W11" i="1" s="1"/>
  <c r="L22" i="12"/>
  <c r="R528" i="2"/>
  <c r="O18" i="12" s="1"/>
  <c r="O31" i="1"/>
  <c r="O33" i="1" s="1"/>
  <c r="P23" i="1"/>
  <c r="R535" i="2"/>
  <c r="P38" i="1" s="1"/>
  <c r="S526" i="2"/>
  <c r="Q29" i="1" s="1"/>
  <c r="R534" i="2"/>
  <c r="P37" i="1" s="1"/>
  <c r="R536" i="2"/>
  <c r="P39" i="1" s="1"/>
  <c r="Q542" i="2"/>
  <c r="O44" i="1" s="1"/>
  <c r="R540" i="2"/>
  <c r="P42" i="1" s="1"/>
  <c r="P76" i="1" s="1"/>
  <c r="R537" i="2"/>
  <c r="P40" i="1" s="1"/>
  <c r="R539" i="2"/>
  <c r="P51" i="1" s="1"/>
  <c r="Q19" i="1"/>
  <c r="S472" i="2"/>
  <c r="M56" i="1"/>
  <c r="N44" i="1"/>
  <c r="M19" i="12"/>
  <c r="S520" i="2"/>
  <c r="S536" i="2" s="1"/>
  <c r="Q39" i="1" s="1"/>
  <c r="P66" i="12"/>
  <c r="R13" i="1"/>
  <c r="Q68" i="12"/>
  <c r="T516" i="2"/>
  <c r="Q66" i="12" s="1"/>
  <c r="T518" i="2"/>
  <c r="R21" i="1" s="1"/>
  <c r="U550" i="2"/>
  <c r="AB739" i="2"/>
  <c r="Q27" i="1"/>
  <c r="Q20" i="12"/>
  <c r="R54" i="1"/>
  <c r="N56" i="1"/>
  <c r="N77" i="1" s="1"/>
  <c r="M22" i="12"/>
  <c r="R20" i="1" l="1"/>
  <c r="U518" i="2"/>
  <c r="U526" i="2" s="1"/>
  <c r="S29" i="1" s="1"/>
  <c r="U538" i="2"/>
  <c r="S41" i="1" s="1"/>
  <c r="W41" i="1" s="1"/>
  <c r="M28" i="12"/>
  <c r="M64" i="1"/>
  <c r="Q15" i="1"/>
  <c r="U517" i="2"/>
  <c r="S20" i="1" s="1"/>
  <c r="U516" i="2"/>
  <c r="AB726" i="2" s="1"/>
  <c r="R68" i="12"/>
  <c r="U68" i="12" s="1"/>
  <c r="U11" i="12" s="1"/>
  <c r="S13" i="1"/>
  <c r="W13" i="1" s="1"/>
  <c r="W12" i="1" s="1"/>
  <c r="S54" i="1"/>
  <c r="W54" i="1" s="1"/>
  <c r="R20" i="12"/>
  <c r="U20" i="12" s="1"/>
  <c r="M77" i="1"/>
  <c r="P31" i="1"/>
  <c r="P33" i="1" s="1"/>
  <c r="R530" i="2"/>
  <c r="T524" i="2"/>
  <c r="R27" i="1" s="1"/>
  <c r="Q552" i="2"/>
  <c r="Q502" i="2" s="1"/>
  <c r="N19" i="12"/>
  <c r="S528" i="2"/>
  <c r="Q31" i="1" s="1"/>
  <c r="S535" i="2"/>
  <c r="Q38" i="1" s="1"/>
  <c r="P17" i="12"/>
  <c r="S540" i="2"/>
  <c r="Q42" i="1" s="1"/>
  <c r="Q76" i="1" s="1"/>
  <c r="S537" i="2"/>
  <c r="Q40" i="1" s="1"/>
  <c r="S539" i="2"/>
  <c r="Q51" i="1" s="1"/>
  <c r="R19" i="1"/>
  <c r="P13" i="12"/>
  <c r="T472" i="2"/>
  <c r="Q23" i="1"/>
  <c r="S534" i="2"/>
  <c r="Q37" i="1" s="1"/>
  <c r="R542" i="2"/>
  <c r="O19" i="12" s="1"/>
  <c r="T520" i="2"/>
  <c r="T535" i="2" s="1"/>
  <c r="R38" i="1" s="1"/>
  <c r="T526" i="2"/>
  <c r="R29" i="1" s="1"/>
  <c r="W20" i="1" l="1"/>
  <c r="S21" i="1"/>
  <c r="W21" i="1" s="1"/>
  <c r="AB728" i="2"/>
  <c r="AB736" i="2"/>
  <c r="R15" i="1"/>
  <c r="AB727" i="2"/>
  <c r="U525" i="2"/>
  <c r="S28" i="1" s="1"/>
  <c r="W28" i="1" s="1"/>
  <c r="R66" i="12"/>
  <c r="U66" i="12" s="1"/>
  <c r="U13" i="12" s="1"/>
  <c r="U472" i="2"/>
  <c r="S66" i="12"/>
  <c r="S19" i="1"/>
  <c r="W19" i="1" s="1"/>
  <c r="W14" i="1" s="1"/>
  <c r="U520" i="2"/>
  <c r="S23" i="1" s="1"/>
  <c r="U524" i="2"/>
  <c r="S27" i="1" s="1"/>
  <c r="W27" i="1" s="1"/>
  <c r="W29" i="1"/>
  <c r="O56" i="1"/>
  <c r="O77" i="1" s="1"/>
  <c r="P18" i="12"/>
  <c r="S530" i="2"/>
  <c r="Q17" i="12"/>
  <c r="N22" i="12"/>
  <c r="T540" i="2"/>
  <c r="R42" i="1" s="1"/>
  <c r="Q33" i="1"/>
  <c r="S542" i="2"/>
  <c r="P19" i="12" s="1"/>
  <c r="T539" i="2"/>
  <c r="R51" i="1" s="1"/>
  <c r="T537" i="2"/>
  <c r="R40" i="1" s="1"/>
  <c r="Q13" i="12"/>
  <c r="T534" i="2"/>
  <c r="R37" i="1" s="1"/>
  <c r="R23" i="1"/>
  <c r="T536" i="2"/>
  <c r="R39" i="1" s="1"/>
  <c r="P44" i="1"/>
  <c r="R552" i="2"/>
  <c r="R502" i="2" s="1"/>
  <c r="AB731" i="2"/>
  <c r="T528" i="2"/>
  <c r="Q18" i="12" s="1"/>
  <c r="R567" i="2" l="1"/>
  <c r="R568" i="2" s="1"/>
  <c r="O28" i="12" s="1"/>
  <c r="R13" i="12"/>
  <c r="AB730" i="2"/>
  <c r="S15" i="1"/>
  <c r="AB729" i="2"/>
  <c r="R17" i="12"/>
  <c r="U17" i="12" s="1"/>
  <c r="U534" i="2"/>
  <c r="S37" i="1" s="1"/>
  <c r="W37" i="1" s="1"/>
  <c r="U540" i="2"/>
  <c r="S42" i="1" s="1"/>
  <c r="S76" i="1" s="1"/>
  <c r="U536" i="2"/>
  <c r="S39" i="1" s="1"/>
  <c r="W39" i="1" s="1"/>
  <c r="U528" i="2"/>
  <c r="U530" i="2" s="1"/>
  <c r="U539" i="2"/>
  <c r="S51" i="1" s="1"/>
  <c r="W51" i="1" s="1"/>
  <c r="U535" i="2"/>
  <c r="AB733" i="2" s="1"/>
  <c r="U537" i="2"/>
  <c r="S40" i="1" s="1"/>
  <c r="W40" i="1" s="1"/>
  <c r="U12" i="12"/>
  <c r="W23" i="1"/>
  <c r="W15" i="1"/>
  <c r="O22" i="12"/>
  <c r="R76" i="1"/>
  <c r="S552" i="2"/>
  <c r="S502" i="2" s="1"/>
  <c r="T530" i="2"/>
  <c r="Q44" i="1"/>
  <c r="R31" i="1"/>
  <c r="P56" i="1"/>
  <c r="P77" i="1" s="1"/>
  <c r="T542" i="2"/>
  <c r="R44" i="1" s="1"/>
  <c r="R18" i="12" l="1"/>
  <c r="U18" i="12" s="1"/>
  <c r="P64" i="1"/>
  <c r="S31" i="1"/>
  <c r="S33" i="1" s="1"/>
  <c r="AB737" i="2"/>
  <c r="AB734" i="2"/>
  <c r="AB732" i="2"/>
  <c r="W42" i="1"/>
  <c r="AB738" i="2"/>
  <c r="S38" i="1"/>
  <c r="W38" i="1" s="1"/>
  <c r="U542" i="2"/>
  <c r="R19" i="12" s="1"/>
  <c r="AB735" i="2"/>
  <c r="S568" i="2"/>
  <c r="P28" i="12" s="1"/>
  <c r="R33" i="1"/>
  <c r="P22" i="12"/>
  <c r="Q56" i="1"/>
  <c r="Q77" i="1" s="1"/>
  <c r="T552" i="2"/>
  <c r="T502" i="2" s="1"/>
  <c r="Q19" i="12"/>
  <c r="W33" i="1" l="1"/>
  <c r="W31" i="1"/>
  <c r="S44" i="1"/>
  <c r="W44" i="1" s="1"/>
  <c r="U552" i="2"/>
  <c r="U502" i="2" s="1"/>
  <c r="Q64" i="1"/>
  <c r="U19" i="12"/>
  <c r="T568" i="2"/>
  <c r="Q28" i="12" s="1"/>
  <c r="R56" i="1"/>
  <c r="Q22" i="12"/>
  <c r="U568" i="2" l="1"/>
  <c r="S56" i="1"/>
  <c r="S77" i="1" s="1"/>
  <c r="R22" i="12"/>
  <c r="U22" i="12" s="1"/>
  <c r="R64" i="1"/>
  <c r="R77" i="1"/>
  <c r="AB753" i="2" l="1"/>
  <c r="S64" i="1"/>
  <c r="W64" i="1" s="1"/>
  <c r="AB754" i="2"/>
  <c r="R28" i="12"/>
  <c r="U28" i="12" s="1"/>
  <c r="W56" i="1"/>
  <c r="I494" i="2" l="1"/>
  <c r="L558" i="2"/>
  <c r="M558" i="2"/>
  <c r="N558" i="2"/>
  <c r="O558" i="2"/>
  <c r="P558" i="2"/>
  <c r="Q558" i="2"/>
  <c r="R558" i="2"/>
  <c r="S558" i="2"/>
  <c r="T558" i="2"/>
  <c r="U558" i="2"/>
  <c r="U494" i="2"/>
  <c r="I482" i="2"/>
  <c r="I562" i="2" s="1"/>
  <c r="I489" i="2"/>
  <c r="I564" i="2"/>
  <c r="I490" i="2" l="1"/>
  <c r="I563" i="2"/>
  <c r="K558" i="2"/>
  <c r="S494" i="2" l="1"/>
  <c r="K482" i="2" l="1"/>
  <c r="K562" i="2" s="1"/>
  <c r="K489" i="2"/>
  <c r="K563" i="2" s="1"/>
  <c r="J556" i="2"/>
  <c r="J558" i="2"/>
  <c r="K564" i="2"/>
  <c r="O494" i="2"/>
  <c r="G24" i="12" l="1"/>
  <c r="H63" i="1"/>
  <c r="P494" i="2" l="1"/>
  <c r="Q494" i="2"/>
  <c r="T494" i="2"/>
  <c r="K92" i="2"/>
  <c r="L92" i="2" s="1"/>
  <c r="K94" i="2" l="1"/>
  <c r="K98" i="2" s="1"/>
  <c r="L98" i="2" s="1"/>
  <c r="M92" i="2"/>
  <c r="L94" i="2" l="1"/>
  <c r="M94" i="2"/>
  <c r="M98" i="2"/>
  <c r="F35" i="2"/>
  <c r="G35" i="2"/>
  <c r="F36" i="2"/>
  <c r="G36" i="2"/>
  <c r="F38" i="2"/>
  <c r="G38" i="2"/>
  <c r="G42" i="2"/>
  <c r="F43" i="2"/>
  <c r="G43" i="2"/>
  <c r="F44" i="2"/>
  <c r="G44" i="2"/>
  <c r="F46" i="2"/>
  <c r="G46" i="2"/>
  <c r="N72" i="2"/>
  <c r="N73" i="2"/>
  <c r="N75" i="2"/>
  <c r="N79" i="2"/>
  <c r="N80" i="2"/>
  <c r="N81" i="2"/>
  <c r="N82" i="2"/>
  <c r="N83" i="2"/>
  <c r="N84" i="2"/>
  <c r="N85" i="2"/>
  <c r="N86" i="2"/>
  <c r="N87" i="2"/>
  <c r="N88" i="2"/>
  <c r="N89" i="2"/>
  <c r="N90" i="2"/>
  <c r="N92" i="2"/>
  <c r="N94" i="2"/>
  <c r="G96" i="2"/>
  <c r="I96" i="2"/>
  <c r="J96" i="2"/>
  <c r="K96" i="2"/>
  <c r="L96" i="2"/>
  <c r="M96" i="2"/>
  <c r="N96" i="2"/>
  <c r="G97" i="2"/>
  <c r="I97" i="2"/>
  <c r="J97" i="2"/>
  <c r="K97" i="2"/>
  <c r="L97" i="2"/>
  <c r="M97" i="2"/>
  <c r="N97" i="2"/>
  <c r="N98" i="2"/>
  <c r="K100" i="2"/>
  <c r="L100" i="2"/>
  <c r="M100" i="2"/>
  <c r="N100" i="2"/>
  <c r="K102" i="2"/>
  <c r="L102" i="2"/>
  <c r="M102" i="2"/>
  <c r="N102" i="2"/>
  <c r="K104" i="2"/>
  <c r="L104" i="2"/>
  <c r="M104" i="2"/>
  <c r="N104" i="2"/>
  <c r="G115" i="2"/>
  <c r="G123" i="2"/>
  <c r="G125" i="2"/>
  <c r="G132" i="2"/>
  <c r="G140" i="2"/>
  <c r="G141" i="2"/>
  <c r="G143" i="2"/>
  <c r="G144" i="2"/>
  <c r="I473" i="2"/>
  <c r="J473" i="2"/>
  <c r="K473" i="2"/>
  <c r="L473" i="2"/>
  <c r="M473" i="2"/>
  <c r="N473" i="2"/>
  <c r="O473" i="2"/>
  <c r="P473" i="2"/>
  <c r="Q473" i="2"/>
  <c r="R473" i="2"/>
  <c r="S473" i="2"/>
  <c r="T473" i="2"/>
  <c r="U473" i="2"/>
  <c r="I479" i="2"/>
  <c r="J479" i="2"/>
  <c r="K479" i="2"/>
  <c r="L479" i="2"/>
  <c r="M479" i="2"/>
  <c r="N479" i="2"/>
  <c r="O479" i="2"/>
  <c r="P479" i="2"/>
  <c r="Q479" i="2"/>
  <c r="R479" i="2"/>
  <c r="S479" i="2"/>
  <c r="T479" i="2"/>
  <c r="U479" i="2"/>
  <c r="I480" i="2"/>
  <c r="J480" i="2"/>
  <c r="K480" i="2"/>
  <c r="L480" i="2"/>
  <c r="M480" i="2"/>
  <c r="N480" i="2"/>
  <c r="O480" i="2"/>
  <c r="P480" i="2"/>
  <c r="Q480" i="2"/>
  <c r="R480" i="2"/>
  <c r="S480" i="2"/>
  <c r="T480" i="2"/>
  <c r="U480" i="2"/>
  <c r="I481" i="2"/>
  <c r="J481" i="2"/>
  <c r="K481" i="2"/>
  <c r="L481" i="2"/>
  <c r="M481" i="2"/>
  <c r="N481" i="2"/>
  <c r="O481" i="2"/>
  <c r="P481" i="2"/>
  <c r="Q481" i="2"/>
  <c r="R481" i="2"/>
  <c r="S481" i="2"/>
  <c r="T481" i="2"/>
  <c r="U481" i="2"/>
  <c r="J482" i="2"/>
  <c r="I483" i="2"/>
  <c r="J483" i="2"/>
  <c r="K483" i="2"/>
  <c r="L483" i="2"/>
  <c r="M483" i="2"/>
  <c r="N483" i="2"/>
  <c r="O483" i="2"/>
  <c r="P483" i="2"/>
  <c r="Q483" i="2"/>
  <c r="R483" i="2"/>
  <c r="S483" i="2"/>
  <c r="T483" i="2"/>
  <c r="U483" i="2"/>
  <c r="J489" i="2"/>
  <c r="J490" i="2"/>
  <c r="K490" i="2"/>
  <c r="L490" i="2"/>
  <c r="M490" i="2"/>
  <c r="N490" i="2"/>
  <c r="O490" i="2"/>
  <c r="P490" i="2"/>
  <c r="Q490" i="2"/>
  <c r="R490" i="2"/>
  <c r="S490" i="2"/>
  <c r="T490" i="2"/>
  <c r="U490" i="2"/>
  <c r="I491" i="2"/>
  <c r="J491" i="2"/>
  <c r="K491" i="2"/>
  <c r="L491" i="2"/>
  <c r="M491" i="2"/>
  <c r="N491" i="2"/>
  <c r="O491" i="2"/>
  <c r="P491" i="2"/>
  <c r="Q491" i="2"/>
  <c r="R491" i="2"/>
  <c r="S491" i="2"/>
  <c r="T491" i="2"/>
  <c r="U491" i="2"/>
  <c r="I492" i="2"/>
  <c r="J492" i="2"/>
  <c r="K492" i="2"/>
  <c r="L492" i="2"/>
  <c r="M492" i="2"/>
  <c r="N492" i="2"/>
  <c r="O492" i="2"/>
  <c r="P492" i="2"/>
  <c r="Q492" i="2"/>
  <c r="R492" i="2"/>
  <c r="S492" i="2"/>
  <c r="T492" i="2"/>
  <c r="U492" i="2"/>
  <c r="I493" i="2"/>
  <c r="J493" i="2"/>
  <c r="K493" i="2"/>
  <c r="L493" i="2"/>
  <c r="M493" i="2"/>
  <c r="N493" i="2"/>
  <c r="O493" i="2"/>
  <c r="P493" i="2"/>
  <c r="Q493" i="2"/>
  <c r="R493" i="2"/>
  <c r="S493" i="2"/>
  <c r="T493" i="2"/>
  <c r="U493" i="2"/>
  <c r="R494" i="2"/>
  <c r="I495" i="2"/>
  <c r="J495" i="2"/>
  <c r="K495" i="2"/>
  <c r="L495" i="2"/>
  <c r="M495" i="2"/>
  <c r="N495" i="2"/>
  <c r="O495" i="2"/>
  <c r="P495" i="2"/>
  <c r="Q495" i="2"/>
  <c r="R495" i="2"/>
  <c r="S495" i="2"/>
  <c r="T495" i="2"/>
  <c r="U495" i="2"/>
  <c r="J501" i="2"/>
  <c r="K501" i="2"/>
  <c r="L501" i="2"/>
  <c r="M501" i="2"/>
  <c r="N501" i="2"/>
  <c r="O501" i="2"/>
  <c r="P501" i="2"/>
  <c r="Q501" i="2"/>
  <c r="R501" i="2"/>
  <c r="S501" i="2"/>
  <c r="T501" i="2"/>
  <c r="U501" i="2"/>
  <c r="I503" i="2"/>
  <c r="J503" i="2"/>
  <c r="K503" i="2"/>
  <c r="L503" i="2"/>
  <c r="M503" i="2"/>
  <c r="N503" i="2"/>
  <c r="O503" i="2"/>
  <c r="P503" i="2"/>
  <c r="Q503" i="2"/>
  <c r="R503" i="2"/>
  <c r="S503" i="2"/>
  <c r="T503" i="2"/>
  <c r="U503" i="2"/>
  <c r="R504" i="2"/>
  <c r="I505" i="2"/>
  <c r="J505" i="2"/>
  <c r="K505" i="2"/>
  <c r="L505" i="2"/>
  <c r="M505" i="2"/>
  <c r="N505" i="2"/>
  <c r="O505" i="2"/>
  <c r="P505" i="2"/>
  <c r="Q505" i="2"/>
  <c r="R505" i="2"/>
  <c r="S505" i="2"/>
  <c r="T505" i="2"/>
  <c r="U505" i="2"/>
  <c r="I556" i="2"/>
  <c r="I557" i="2"/>
  <c r="J557" i="2"/>
  <c r="K557" i="2"/>
  <c r="L557" i="2"/>
  <c r="M557" i="2"/>
  <c r="N557" i="2"/>
  <c r="O557" i="2"/>
  <c r="P557" i="2"/>
  <c r="Q557" i="2"/>
  <c r="R557" i="2"/>
  <c r="S557" i="2"/>
  <c r="T557" i="2"/>
  <c r="U557" i="2"/>
  <c r="I558" i="2"/>
  <c r="I560" i="2"/>
  <c r="J560" i="2"/>
  <c r="K560" i="2"/>
  <c r="L560" i="2"/>
  <c r="M560" i="2"/>
  <c r="N560" i="2"/>
  <c r="O560" i="2"/>
  <c r="P560" i="2"/>
  <c r="Q560" i="2"/>
  <c r="R560" i="2"/>
  <c r="S560" i="2"/>
  <c r="T560" i="2"/>
  <c r="U560" i="2"/>
  <c r="I561" i="2"/>
  <c r="J561" i="2"/>
  <c r="K561" i="2"/>
  <c r="L561" i="2"/>
  <c r="M561" i="2"/>
  <c r="N561" i="2"/>
  <c r="O561" i="2"/>
  <c r="P561" i="2"/>
  <c r="Q561" i="2"/>
  <c r="R561" i="2"/>
  <c r="S561" i="2"/>
  <c r="T561" i="2"/>
  <c r="U561" i="2"/>
  <c r="J562" i="2"/>
  <c r="J563" i="2"/>
  <c r="J564" i="2"/>
  <c r="I565" i="2"/>
  <c r="J565" i="2"/>
  <c r="K565" i="2"/>
  <c r="L565" i="2"/>
  <c r="M565" i="2"/>
  <c r="N565" i="2"/>
  <c r="O565" i="2"/>
  <c r="P565" i="2"/>
  <c r="Q565" i="2"/>
  <c r="R565" i="2"/>
  <c r="S565" i="2"/>
  <c r="T565" i="2"/>
  <c r="U565" i="2"/>
  <c r="I566" i="2"/>
  <c r="J566" i="2"/>
  <c r="K566" i="2"/>
  <c r="L566" i="2"/>
  <c r="M566" i="2"/>
  <c r="N566" i="2"/>
  <c r="O566" i="2"/>
  <c r="P566" i="2"/>
  <c r="Q566" i="2"/>
  <c r="R566" i="2"/>
  <c r="S566" i="2"/>
  <c r="T566" i="2"/>
  <c r="U566" i="2"/>
  <c r="R569" i="2"/>
  <c r="I571" i="2"/>
  <c r="J571" i="2"/>
  <c r="K571" i="2"/>
  <c r="L571" i="2"/>
  <c r="M571" i="2"/>
  <c r="N571" i="2"/>
  <c r="O571" i="2"/>
  <c r="P571" i="2"/>
  <c r="Q571" i="2"/>
  <c r="R571" i="2"/>
  <c r="S571" i="2"/>
  <c r="T571" i="2"/>
  <c r="U571" i="2"/>
  <c r="I573" i="2"/>
  <c r="J573" i="2"/>
  <c r="K573" i="2"/>
  <c r="L573" i="2"/>
  <c r="M573" i="2"/>
  <c r="N573" i="2"/>
  <c r="O573" i="2"/>
  <c r="P573" i="2"/>
  <c r="Q573" i="2"/>
  <c r="R573" i="2"/>
  <c r="S573" i="2"/>
  <c r="T573" i="2"/>
  <c r="U573" i="2"/>
  <c r="I575" i="2"/>
  <c r="J575" i="2"/>
  <c r="K575" i="2"/>
  <c r="L575" i="2"/>
  <c r="M575" i="2"/>
  <c r="N575" i="2"/>
  <c r="O575" i="2"/>
  <c r="P575" i="2"/>
  <c r="Q575" i="2"/>
  <c r="R575" i="2"/>
  <c r="S575" i="2"/>
  <c r="T575" i="2"/>
  <c r="U575" i="2"/>
  <c r="I577" i="2"/>
  <c r="J577" i="2"/>
  <c r="K577" i="2"/>
  <c r="L577" i="2"/>
  <c r="M577" i="2"/>
  <c r="N577" i="2"/>
  <c r="O577" i="2"/>
  <c r="P577" i="2"/>
  <c r="Q577" i="2"/>
  <c r="R577" i="2"/>
  <c r="S577" i="2"/>
  <c r="T577" i="2"/>
  <c r="U577" i="2"/>
  <c r="I588" i="2"/>
  <c r="J588" i="2"/>
  <c r="K588" i="2"/>
  <c r="L588" i="2"/>
  <c r="M588" i="2"/>
  <c r="N588" i="2"/>
  <c r="O588" i="2"/>
  <c r="P588" i="2"/>
  <c r="Q588" i="2"/>
  <c r="R588" i="2"/>
  <c r="S588" i="2"/>
  <c r="T588" i="2"/>
  <c r="U588" i="2"/>
  <c r="I589" i="2"/>
  <c r="J589" i="2"/>
  <c r="K589" i="2"/>
  <c r="L589" i="2"/>
  <c r="M589" i="2"/>
  <c r="N589" i="2"/>
  <c r="O589" i="2"/>
  <c r="P589" i="2"/>
  <c r="Q589" i="2"/>
  <c r="R589" i="2"/>
  <c r="S589" i="2"/>
  <c r="T589" i="2"/>
  <c r="U589" i="2"/>
  <c r="I595" i="2"/>
  <c r="J595" i="2"/>
  <c r="K595" i="2"/>
  <c r="L595" i="2"/>
  <c r="M595" i="2"/>
  <c r="N595" i="2"/>
  <c r="O595" i="2"/>
  <c r="P595" i="2"/>
  <c r="Q595" i="2"/>
  <c r="R595" i="2"/>
  <c r="S595" i="2"/>
  <c r="T595" i="2"/>
  <c r="U595" i="2"/>
  <c r="I596" i="2"/>
  <c r="J596" i="2"/>
  <c r="K596" i="2"/>
  <c r="L596" i="2"/>
  <c r="M596" i="2"/>
  <c r="N596" i="2"/>
  <c r="O596" i="2"/>
  <c r="P596" i="2"/>
  <c r="Q596" i="2"/>
  <c r="R596" i="2"/>
  <c r="S596" i="2"/>
  <c r="T596" i="2"/>
  <c r="U596" i="2"/>
  <c r="I598" i="2"/>
  <c r="J598" i="2"/>
  <c r="K598" i="2"/>
  <c r="L598" i="2"/>
  <c r="M598" i="2"/>
  <c r="N598" i="2"/>
  <c r="O598" i="2"/>
  <c r="P598" i="2"/>
  <c r="Q598" i="2"/>
  <c r="R598" i="2"/>
  <c r="S598" i="2"/>
  <c r="T598" i="2"/>
  <c r="U598" i="2"/>
  <c r="I599" i="2"/>
  <c r="J599" i="2"/>
  <c r="K599" i="2"/>
  <c r="L599" i="2"/>
  <c r="M599" i="2"/>
  <c r="N599" i="2"/>
  <c r="O599" i="2"/>
  <c r="P599" i="2"/>
  <c r="Q599" i="2"/>
  <c r="R599" i="2"/>
  <c r="S599" i="2"/>
  <c r="T599" i="2"/>
  <c r="U599" i="2"/>
  <c r="I605" i="2"/>
  <c r="J605" i="2"/>
  <c r="K605" i="2"/>
  <c r="L605" i="2"/>
  <c r="M605" i="2"/>
  <c r="N605" i="2"/>
  <c r="O605" i="2"/>
  <c r="P605" i="2"/>
  <c r="Q605" i="2"/>
  <c r="R605" i="2"/>
  <c r="S605" i="2"/>
  <c r="T605" i="2"/>
  <c r="U605" i="2"/>
  <c r="G607" i="2"/>
  <c r="I609" i="2"/>
  <c r="J609" i="2"/>
  <c r="K609" i="2"/>
  <c r="L609" i="2"/>
  <c r="M609" i="2"/>
  <c r="N609" i="2"/>
  <c r="O609" i="2"/>
  <c r="P609" i="2"/>
  <c r="Q609" i="2"/>
  <c r="R609" i="2"/>
  <c r="S609" i="2"/>
  <c r="T609" i="2"/>
  <c r="U609" i="2"/>
  <c r="G611" i="2"/>
  <c r="G617" i="2"/>
  <c r="G618" i="2"/>
  <c r="G624" i="2"/>
  <c r="G625" i="2"/>
  <c r="G626" i="2"/>
  <c r="AC637" i="2"/>
  <c r="AD637" i="2"/>
  <c r="AE637" i="2"/>
  <c r="AF637" i="2"/>
  <c r="AG637" i="2"/>
  <c r="AC648" i="2"/>
  <c r="AD648" i="2"/>
  <c r="AE648" i="2"/>
  <c r="AF648" i="2"/>
  <c r="AG648" i="2"/>
  <c r="AC667" i="2"/>
  <c r="AD667" i="2"/>
  <c r="AE667" i="2"/>
  <c r="AF667" i="2"/>
  <c r="AG667" i="2"/>
  <c r="AC686" i="2"/>
  <c r="AD686" i="2"/>
  <c r="AE686" i="2"/>
  <c r="AF686" i="2"/>
  <c r="AG686" i="2"/>
  <c r="AB707" i="2"/>
  <c r="AB742" i="2"/>
  <c r="AB744" i="2"/>
  <c r="AB745" i="2"/>
  <c r="AB746" i="2"/>
  <c r="AB747" i="2"/>
  <c r="AB748" i="2"/>
  <c r="AB749" i="2"/>
  <c r="AB750" i="2"/>
  <c r="AB751" i="2"/>
  <c r="AB752" i="2"/>
  <c r="G60" i="1"/>
  <c r="H60" i="1"/>
  <c r="I60" i="1"/>
  <c r="J60" i="1"/>
  <c r="K60" i="1"/>
  <c r="L60" i="1"/>
  <c r="M60" i="1"/>
  <c r="N60" i="1"/>
  <c r="O60" i="1"/>
  <c r="P60" i="1"/>
  <c r="Q60" i="1"/>
  <c r="R60" i="1"/>
  <c r="S60" i="1"/>
  <c r="W60" i="1"/>
  <c r="G61" i="1"/>
  <c r="H61" i="1"/>
  <c r="I61" i="1"/>
  <c r="J61" i="1"/>
  <c r="K61" i="1"/>
  <c r="L61" i="1"/>
  <c r="M61" i="1"/>
  <c r="N61" i="1"/>
  <c r="O61" i="1"/>
  <c r="P61" i="1"/>
  <c r="Q61" i="1"/>
  <c r="R61" i="1"/>
  <c r="S61" i="1"/>
  <c r="W61" i="1"/>
  <c r="G62" i="1"/>
  <c r="H62" i="1"/>
  <c r="I62" i="1"/>
  <c r="J62" i="1"/>
  <c r="K62" i="1"/>
  <c r="L62" i="1"/>
  <c r="M62" i="1"/>
  <c r="N62" i="1"/>
  <c r="O62" i="1"/>
  <c r="P62" i="1"/>
  <c r="Q62" i="1"/>
  <c r="R62" i="1"/>
  <c r="S62" i="1"/>
  <c r="W62" i="1"/>
  <c r="G63" i="1"/>
  <c r="W63" i="1"/>
  <c r="G66" i="1"/>
  <c r="H66" i="1"/>
  <c r="I66" i="1"/>
  <c r="J66" i="1"/>
  <c r="K66" i="1"/>
  <c r="L66" i="1"/>
  <c r="M66" i="1"/>
  <c r="N66" i="1"/>
  <c r="O66" i="1"/>
  <c r="P66" i="1"/>
  <c r="Q66" i="1"/>
  <c r="R66" i="1"/>
  <c r="S66" i="1"/>
  <c r="W66" i="1"/>
  <c r="G68" i="1"/>
  <c r="H68" i="1"/>
  <c r="I68" i="1"/>
  <c r="J68" i="1"/>
  <c r="K68" i="1"/>
  <c r="L68" i="1"/>
  <c r="M68" i="1"/>
  <c r="N68" i="1"/>
  <c r="O68" i="1"/>
  <c r="P68" i="1"/>
  <c r="Q68" i="1"/>
  <c r="R68" i="1"/>
  <c r="S68" i="1"/>
  <c r="W68" i="1"/>
  <c r="G70" i="1"/>
  <c r="H70" i="1"/>
  <c r="I70" i="1"/>
  <c r="J70" i="1"/>
  <c r="K70" i="1"/>
  <c r="L70" i="1"/>
  <c r="M70" i="1"/>
  <c r="N70" i="1"/>
  <c r="O70" i="1"/>
  <c r="P70" i="1"/>
  <c r="Q70" i="1"/>
  <c r="R70" i="1"/>
  <c r="S70" i="1"/>
  <c r="W70" i="1"/>
  <c r="G73" i="1"/>
  <c r="H73" i="1"/>
  <c r="I73" i="1"/>
  <c r="J73" i="1"/>
  <c r="K73" i="1"/>
  <c r="L73" i="1"/>
  <c r="M73" i="1"/>
  <c r="N73" i="1"/>
  <c r="O73" i="1"/>
  <c r="P73" i="1"/>
  <c r="Q73" i="1"/>
  <c r="R73" i="1"/>
  <c r="S73" i="1"/>
  <c r="W73" i="1"/>
  <c r="F24" i="12"/>
  <c r="U24" i="12"/>
  <c r="F25" i="12"/>
  <c r="G25" i="12"/>
  <c r="H25" i="12"/>
  <c r="I25" i="12"/>
  <c r="J25" i="12"/>
  <c r="K25" i="12"/>
  <c r="L25" i="12"/>
  <c r="M25" i="12"/>
  <c r="N25" i="12"/>
  <c r="O25" i="12"/>
  <c r="P25" i="12"/>
  <c r="Q25" i="12"/>
  <c r="R25" i="12"/>
  <c r="U25" i="12"/>
  <c r="F26" i="12"/>
  <c r="G26" i="12"/>
  <c r="H26" i="12"/>
  <c r="I26" i="12"/>
  <c r="J26" i="12"/>
  <c r="K26" i="12"/>
  <c r="L26" i="12"/>
  <c r="M26" i="12"/>
  <c r="N26" i="12"/>
  <c r="O26" i="12"/>
  <c r="P26" i="12"/>
  <c r="Q26" i="12"/>
  <c r="R26" i="12"/>
  <c r="U26" i="12"/>
  <c r="F27" i="12"/>
  <c r="G27" i="12"/>
  <c r="H27" i="12"/>
  <c r="I27" i="12"/>
  <c r="J27" i="12"/>
  <c r="K27" i="12"/>
  <c r="L27" i="12"/>
  <c r="M27" i="12"/>
  <c r="N27" i="12"/>
  <c r="O27" i="12"/>
  <c r="P27" i="12"/>
  <c r="Q27" i="12"/>
  <c r="R27" i="12"/>
  <c r="U27" i="12"/>
  <c r="F30" i="12"/>
  <c r="G30" i="12"/>
  <c r="H30" i="12"/>
  <c r="I30" i="12"/>
  <c r="J30" i="12"/>
  <c r="K30" i="12"/>
  <c r="L30" i="12"/>
  <c r="M30" i="12"/>
  <c r="N30" i="12"/>
  <c r="O30" i="12"/>
  <c r="P30" i="12"/>
  <c r="Q30" i="12"/>
  <c r="R30" i="12"/>
  <c r="U30" i="12"/>
  <c r="F32" i="12"/>
  <c r="G32" i="12"/>
  <c r="H32" i="12"/>
  <c r="I32" i="12"/>
  <c r="J32" i="12"/>
  <c r="K32" i="12"/>
  <c r="L32" i="12"/>
  <c r="M32" i="12"/>
  <c r="N32" i="12"/>
  <c r="O32" i="12"/>
  <c r="P32" i="12"/>
  <c r="Q32" i="12"/>
  <c r="R32" i="12"/>
  <c r="U32" i="12"/>
  <c r="F46" i="12"/>
  <c r="G46" i="12"/>
  <c r="F47" i="12"/>
  <c r="G47" i="12"/>
  <c r="F49" i="12"/>
  <c r="G49" i="12"/>
  <c r="G53" i="12"/>
  <c r="F54" i="12"/>
  <c r="G54" i="12"/>
  <c r="F55" i="12"/>
  <c r="G55" i="12"/>
  <c r="F57" i="12"/>
  <c r="G57" i="12"/>
  <c r="F62" i="12"/>
  <c r="G62" i="12"/>
  <c r="H62" i="12"/>
  <c r="I62" i="12"/>
  <c r="J62" i="12"/>
  <c r="K62" i="12"/>
  <c r="L62" i="12"/>
  <c r="M62" i="12"/>
  <c r="N62" i="12"/>
  <c r="O62" i="12"/>
  <c r="P62" i="12"/>
  <c r="Q62" i="12"/>
  <c r="R62" i="12"/>
  <c r="U62" i="1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Huddleston, Jack</author>
  </authors>
  <commentList>
    <comment ref="G123" authorId="0" shapeId="0" xr:uid="{00000000-0006-0000-0500-000001000000}">
      <text>
        <r>
          <rPr>
            <b/>
            <sz val="9"/>
            <color indexed="81"/>
            <rFont val="Tahoma"/>
            <family val="2"/>
          </rPr>
          <t>Huddleston, Jack:</t>
        </r>
        <r>
          <rPr>
            <sz val="9"/>
            <color indexed="81"/>
            <rFont val="Tahoma"/>
            <family val="2"/>
          </rPr>
          <t xml:space="preserve">
Based on projected construction schedule</t>
        </r>
      </text>
    </comment>
  </commentList>
</comments>
</file>

<file path=xl/sharedStrings.xml><?xml version="1.0" encoding="utf-8"?>
<sst xmlns="http://schemas.openxmlformats.org/spreadsheetml/2006/main" count="727" uniqueCount="311">
  <si>
    <t>Revenues:</t>
  </si>
  <si>
    <t>Property Taxes</t>
  </si>
  <si>
    <t>Insurance</t>
  </si>
  <si>
    <t>Utilities</t>
  </si>
  <si>
    <t>Total Revenue</t>
  </si>
  <si>
    <t>Net Operating Income (NOI)</t>
  </si>
  <si>
    <t>Rooms</t>
  </si>
  <si>
    <t>Food &amp; Beverage</t>
  </si>
  <si>
    <t>Other</t>
  </si>
  <si>
    <t>Departmental Expenses:</t>
  </si>
  <si>
    <t>Room Operating Expenses</t>
  </si>
  <si>
    <t>Gross Operating Income</t>
  </si>
  <si>
    <t>Total Departmental Expenses</t>
  </si>
  <si>
    <t>Sales &amp; Marketing</t>
  </si>
  <si>
    <t>Repairs &amp; Maintenance</t>
  </si>
  <si>
    <t>Franchise Fee</t>
  </si>
  <si>
    <t>Management Fee</t>
  </si>
  <si>
    <t>FF&amp;E Reserves</t>
  </si>
  <si>
    <t>Ground Lease</t>
  </si>
  <si>
    <t>Property Name</t>
  </si>
  <si>
    <t>Name</t>
  </si>
  <si>
    <t>Base</t>
  </si>
  <si>
    <t>High</t>
  </si>
  <si>
    <t>Low</t>
  </si>
  <si>
    <t>Active Scenario</t>
  </si>
  <si>
    <t>Projected</t>
  </si>
  <si>
    <t>Date</t>
  </si>
  <si>
    <t>General</t>
  </si>
  <si>
    <t>ADR Growth Rate:</t>
  </si>
  <si>
    <t># Keys</t>
  </si>
  <si>
    <t>#</t>
  </si>
  <si>
    <t>Input</t>
  </si>
  <si>
    <t>%</t>
  </si>
  <si>
    <t>Days in Period</t>
  </si>
  <si>
    <t># Days</t>
  </si>
  <si>
    <t>Market Average Daily Rate (ADR):</t>
  </si>
  <si>
    <t>Property Occupancy</t>
  </si>
  <si>
    <t>---</t>
  </si>
  <si>
    <t>Non-Room Revenue Growth Rates:</t>
  </si>
  <si>
    <t>$</t>
  </si>
  <si>
    <t>Revenue:</t>
  </si>
  <si>
    <t>Land Acquisition Cost</t>
  </si>
  <si>
    <t>Construction Capital Expenditures</t>
  </si>
  <si>
    <t>Sources &amp; Uses of Funds</t>
  </si>
  <si>
    <t>$ / Key / Year</t>
  </si>
  <si>
    <t>Investing &amp; Financing Cash Flows:</t>
  </si>
  <si>
    <t>Sale of Property (Reversion)</t>
  </si>
  <si>
    <t>Inputs &amp; Calculations</t>
  </si>
  <si>
    <t>Sources of Funds:</t>
  </si>
  <si>
    <t>Contributed Equity</t>
  </si>
  <si>
    <t>Total Sources</t>
  </si>
  <si>
    <t>Uses of Funds:</t>
  </si>
  <si>
    <t>Construction Costs</t>
  </si>
  <si>
    <t>Loan Issuance Costs</t>
  </si>
  <si>
    <t>Interest Rate</t>
  </si>
  <si>
    <t>Selling Fees</t>
  </si>
  <si>
    <t>Permanent Loan</t>
  </si>
  <si>
    <t>Sitework</t>
  </si>
  <si>
    <t>Impact Fees</t>
  </si>
  <si>
    <t>Permits</t>
  </si>
  <si>
    <t>Architect Fee</t>
  </si>
  <si>
    <t>Taxes</t>
  </si>
  <si>
    <t>Total Uses</t>
  </si>
  <si>
    <t>Legal</t>
  </si>
  <si>
    <t>FF&amp;E</t>
  </si>
  <si>
    <t>Property Usable SF</t>
  </si>
  <si>
    <t># SF</t>
  </si>
  <si>
    <t>% Total</t>
  </si>
  <si>
    <t>Land Acquisition Costs</t>
  </si>
  <si>
    <t>Closing Costs</t>
  </si>
  <si>
    <t>$ / Acre</t>
  </si>
  <si>
    <t>Total Land Acquisition Cost</t>
  </si>
  <si>
    <t>% Sales Proceeds</t>
  </si>
  <si>
    <t>Construction Cost Budget</t>
  </si>
  <si>
    <t>Vertical Structure</t>
  </si>
  <si>
    <t>Construction Overhead</t>
  </si>
  <si>
    <t>Inspections and Testing</t>
  </si>
  <si>
    <t>Loan Amount</t>
  </si>
  <si>
    <t>Permanent Loan Proceeds</t>
  </si>
  <si>
    <t>Permanent Loan Principal Repayment</t>
  </si>
  <si>
    <t>Contingency</t>
  </si>
  <si>
    <t>$ / Key</t>
  </si>
  <si>
    <t>% Hard Costs</t>
  </si>
  <si>
    <t>% HC + SC</t>
  </si>
  <si>
    <t>Beginning Balance</t>
  </si>
  <si>
    <t>Ending Balance</t>
  </si>
  <si>
    <t>Interest Payments</t>
  </si>
  <si>
    <t># Years</t>
  </si>
  <si>
    <t>Issuance Date</t>
  </si>
  <si>
    <t>Maturity Date</t>
  </si>
  <si>
    <t>Construction Loan Proceeds</t>
  </si>
  <si>
    <t>Construction Loan Principal Repayment</t>
  </si>
  <si>
    <t>Principal Issued</t>
  </si>
  <si>
    <t>Loan-to-Cost Ratio (LTC)</t>
  </si>
  <si>
    <t>1-month LIBOR</t>
  </si>
  <si>
    <t>Cash Interest on Construction Loan</t>
  </si>
  <si>
    <t>Cash Interest on Permanent Loan</t>
  </si>
  <si>
    <t>Total Payment</t>
  </si>
  <si>
    <t>Interest Component</t>
  </si>
  <si>
    <t>Principal Component</t>
  </si>
  <si>
    <t>% of Year</t>
  </si>
  <si>
    <t>Construction Loan Issuance</t>
  </si>
  <si>
    <t>Construction Loan Payoff</t>
  </si>
  <si>
    <t>Construction Loan Interest Periods</t>
  </si>
  <si>
    <t>Permanent Loan Issuance</t>
  </si>
  <si>
    <t>Permanent Loan Interest Periods</t>
  </si>
  <si>
    <t>Land Acquisition</t>
  </si>
  <si>
    <t>Asset Sale</t>
  </si>
  <si>
    <t>Model Start Date</t>
  </si>
  <si>
    <t>Proforma $'s Stated In</t>
  </si>
  <si>
    <t>Scenario Inputs - Revenue</t>
  </si>
  <si>
    <t>% Market Occupancy Rate</t>
  </si>
  <si>
    <t>Subject Occupancy % Market</t>
  </si>
  <si>
    <t>Scenario Inputs - Costs</t>
  </si>
  <si>
    <t>Scenario Inputs - Other</t>
  </si>
  <si>
    <t>Subject ADR % Market</t>
  </si>
  <si>
    <t>% Market ADR</t>
  </si>
  <si>
    <t>Expense Growth Rates</t>
  </si>
  <si>
    <t>Management Fee % Revenue</t>
  </si>
  <si>
    <t>FF&amp;E Reserves Per Key</t>
  </si>
  <si>
    <t>Property Tax Per Key</t>
  </si>
  <si>
    <t>Insurance Per Key</t>
  </si>
  <si>
    <t>Utilities Per Occupied Room Night</t>
  </si>
  <si>
    <t>Other Revenue Gross Margin</t>
  </si>
  <si>
    <t>Room Gross Margin</t>
  </si>
  <si>
    <t>Construction Percentage Complete</t>
  </si>
  <si>
    <t>% Market Value</t>
  </si>
  <si>
    <t>% Rooms Revenue</t>
  </si>
  <si>
    <t>% F&amp;B Revenue</t>
  </si>
  <si>
    <t>% Other Revenue</t>
  </si>
  <si>
    <t>% Total Revenue</t>
  </si>
  <si>
    <t>Sales &amp; Marketing (S&amp;M)</t>
  </si>
  <si>
    <t>Food &amp; Beverage (F&amp;B) Gross Margin</t>
  </si>
  <si>
    <t>Food &amp; Beverage (F&amp;B) Revenue</t>
  </si>
  <si>
    <t>Other Revenue</t>
  </si>
  <si>
    <t>Market Occupancy Rate</t>
  </si>
  <si>
    <t>Proforma</t>
  </si>
  <si>
    <t>Statistics</t>
  </si>
  <si>
    <t>ADR</t>
  </si>
  <si>
    <t>RevPar</t>
  </si>
  <si>
    <t>Total</t>
  </si>
  <si>
    <t># Acres</t>
  </si>
  <si>
    <t>Site Acres</t>
  </si>
  <si>
    <t>Price Per Acre</t>
  </si>
  <si>
    <t>Land Price</t>
  </si>
  <si>
    <t>$ Total</t>
  </si>
  <si>
    <t>Total Hard and Soft Costs</t>
  </si>
  <si>
    <t>Total Construction Costs</t>
  </si>
  <si>
    <t>Hard Costs (HC):</t>
  </si>
  <si>
    <t>Soft Costs (SC):</t>
  </si>
  <si>
    <t>$ / SF</t>
  </si>
  <si>
    <t>Net Cash Flows to Equity</t>
  </si>
  <si>
    <t>Capital Expenditures</t>
  </si>
  <si>
    <t>Interest Expense</t>
  </si>
  <si>
    <t>Net Debt</t>
  </si>
  <si>
    <t>Sale of Property (Net of Costs)</t>
  </si>
  <si>
    <t>Math Check</t>
  </si>
  <si>
    <t>Total Investing &amp; Financing Cash Flows</t>
  </si>
  <si>
    <t>Internal Rate of Return (IRR)</t>
  </si>
  <si>
    <t>Active NPV</t>
  </si>
  <si>
    <t>Valuation As Of Date</t>
  </si>
  <si>
    <t>Total Cash to Equity</t>
  </si>
  <si>
    <t>Equity Invested</t>
  </si>
  <si>
    <t>Debt Metrics</t>
  </si>
  <si>
    <t>Scenario</t>
  </si>
  <si>
    <t>Levered Yield</t>
  </si>
  <si>
    <t>Unlevered Yield</t>
  </si>
  <si>
    <t>Data Tables &gt;&gt;&gt;</t>
  </si>
  <si>
    <t>Scenario Inputs - Asset Sale</t>
  </si>
  <si>
    <t>Sale Cap Rate (Active Scenario)</t>
  </si>
  <si>
    <t>Interest Rate of Permanent Loan</t>
  </si>
  <si>
    <t>Column Increment</t>
  </si>
  <si>
    <t>Row Increment</t>
  </si>
  <si>
    <t>Interest Coverage Ratio</t>
  </si>
  <si>
    <t>Debt Service Coverage Ratio</t>
  </si>
  <si>
    <t>NOI</t>
  </si>
  <si>
    <t>Undistributed Expenses</t>
  </si>
  <si>
    <t>Total Undistributed Expenses</t>
  </si>
  <si>
    <t>Undistributed Expenses:</t>
  </si>
  <si>
    <t>Fixed Expenses:</t>
  </si>
  <si>
    <t>Total Fixed Expenses</t>
  </si>
  <si>
    <t>Total Undstributed Expenses</t>
  </si>
  <si>
    <t>Model Inputs</t>
  </si>
  <si>
    <t>General Subject Property Data</t>
  </si>
  <si>
    <t>Debt</t>
  </si>
  <si>
    <t>Total Hard Costs</t>
  </si>
  <si>
    <t>Sales Proceeds (NOI Cap Rate)</t>
  </si>
  <si>
    <t>Room Nights Available</t>
  </si>
  <si>
    <t>Room Nights Occupied</t>
  </si>
  <si>
    <t>Franchise Fee % Revenue</t>
  </si>
  <si>
    <t>Other Expenses</t>
  </si>
  <si>
    <t>Other (Undistributed) Expenses % Revenue</t>
  </si>
  <si>
    <t>Input Units</t>
  </si>
  <si>
    <t>Note</t>
  </si>
  <si>
    <t>Administrative &amp; General</t>
  </si>
  <si>
    <t>Administrative &amp; General (A&amp;G)</t>
  </si>
  <si>
    <t>% / Year</t>
  </si>
  <si>
    <t>% Land Price</t>
  </si>
  <si>
    <t>Closing Costs %</t>
  </si>
  <si>
    <t>Pre-Opening</t>
  </si>
  <si>
    <t>Construction Loan Interest</t>
  </si>
  <si>
    <t>Total Soft Costs*</t>
  </si>
  <si>
    <t>Construction Loan Payoff Date</t>
  </si>
  <si>
    <t>% Completed / Year</t>
  </si>
  <si>
    <t>% of Year Constructing Building</t>
  </si>
  <si>
    <t>0 or 1</t>
  </si>
  <si>
    <t>Payments Per Year</t>
  </si>
  <si>
    <t>Construction Loan (Interest Only)</t>
  </si>
  <si>
    <t>Annual Amortization Payment</t>
  </si>
  <si>
    <t>Permanent Loan Start Period</t>
  </si>
  <si>
    <t>Permanent Loan End Period</t>
  </si>
  <si>
    <t>Cumulative Loan Interest</t>
  </si>
  <si>
    <t>% Constr. Cost</t>
  </si>
  <si>
    <t># Per Year</t>
  </si>
  <si>
    <t>Base Interest Rate</t>
  </si>
  <si>
    <t>Adjusted Interest Rate</t>
  </si>
  <si>
    <t>% Loan Amount</t>
  </si>
  <si>
    <t>Amortization Periods</t>
  </si>
  <si>
    <t>Years Until Maturity</t>
  </si>
  <si>
    <t>Plus</t>
  </si>
  <si>
    <t>Construction Loan Issuance Costs</t>
  </si>
  <si>
    <t>Permanent Loan Issuance Costs</t>
  </si>
  <si>
    <t># Months</t>
  </si>
  <si>
    <t>Principal Maturity</t>
  </si>
  <si>
    <t>Principal Payoffs</t>
  </si>
  <si>
    <t>Metric Calculations</t>
  </si>
  <si>
    <t>Net Present Value (NPV)</t>
  </si>
  <si>
    <t>Cash-on-Cash Multiple (CoC)</t>
  </si>
  <si>
    <t>Yield Measures</t>
  </si>
  <si>
    <t>Levered IRR (Since Project Inception)</t>
  </si>
  <si>
    <t>Scenarios</t>
  </si>
  <si>
    <t>Inputs</t>
  </si>
  <si>
    <t>% of Year Owned</t>
  </si>
  <si>
    <t>% of Year Operating</t>
  </si>
  <si>
    <t>% of Year Owned &amp; Operating</t>
  </si>
  <si>
    <t>LTV of Permanent Loan (Active Scenario)</t>
  </si>
  <si>
    <t>NCF</t>
  </si>
  <si>
    <t>Statistics:</t>
  </si>
  <si>
    <t>Proforma:</t>
  </si>
  <si>
    <t>Rooms Revenue</t>
  </si>
  <si>
    <t>Low Scenario</t>
  </si>
  <si>
    <t>Base Scenario</t>
  </si>
  <si>
    <t>High Scenario</t>
  </si>
  <si>
    <t>Return on Investment Metrics</t>
  </si>
  <si>
    <t>Debt (Net of Issuance Costs)</t>
  </si>
  <si>
    <t>Graphs Data:</t>
  </si>
  <si>
    <t>NOI Margin %</t>
  </si>
  <si>
    <t>Unlevered IRR (Since Project Inception)</t>
  </si>
  <si>
    <t>IRR (Unlevered)</t>
  </si>
  <si>
    <t>IRR (Levered)</t>
  </si>
  <si>
    <t>NPV (Levered)</t>
  </si>
  <si>
    <t>NPV (Unlevered)</t>
  </si>
  <si>
    <t>Column Reference</t>
  </si>
  <si>
    <t>Row Reference</t>
  </si>
  <si>
    <t>Market Occupancy Rate (Base Scenario Only)</t>
  </si>
  <si>
    <t>LTV v. ROI Metrics</t>
  </si>
  <si>
    <t>Interest Rate v. ROI Metrics</t>
  </si>
  <si>
    <t>Cap Rate v. ROI Metrics</t>
  </si>
  <si>
    <t>Scenarios v. ROI Metrics</t>
  </si>
  <si>
    <t>Subject Occupancy % Market (Base Scenario Only)</t>
  </si>
  <si>
    <t>Proforma Totals v. Scenarios</t>
  </si>
  <si>
    <t>Lev. IRR</t>
  </si>
  <si>
    <t>Unlev. IRR</t>
  </si>
  <si>
    <t>Net Cash Flow to Project</t>
  </si>
  <si>
    <t>Net Cash Flow to Equity (Levered)</t>
  </si>
  <si>
    <t>Net Cash Flow to Equity (Unlevered)</t>
  </si>
  <si>
    <t>Net Cash Flows to Project</t>
  </si>
  <si>
    <t>Permanent Loan Payoff / Maturity</t>
  </si>
  <si>
    <t>Permanent Loan Payoff / Maturity Date</t>
  </si>
  <si>
    <t>Asset Sale Date</t>
  </si>
  <si>
    <t>% of Year Not Owned</t>
  </si>
  <si>
    <t>Years Until Payoff</t>
  </si>
  <si>
    <t>% Available Room Nights</t>
  </si>
  <si>
    <t>$ / Occupied Room Night</t>
  </si>
  <si>
    <t>$ / Available Room Night</t>
  </si>
  <si>
    <t>Available Room Nights</t>
  </si>
  <si>
    <t>Occupied Room Nights</t>
  </si>
  <si>
    <t>Permanent Loan Issuance Date</t>
  </si>
  <si>
    <t>Model End Date (Asset Sale)</t>
  </si>
  <si>
    <t>Land Acquisition Date</t>
  </si>
  <si>
    <t>Equity Contribution</t>
  </si>
  <si>
    <t>Timing Triggers - Equity / Land</t>
  </si>
  <si>
    <t>Timing Triggers - Permanent Loan</t>
  </si>
  <si>
    <t>Timing Triggers - Construction Loan</t>
  </si>
  <si>
    <t>Timing Triggers - Asset Sale</t>
  </si>
  <si>
    <t>Timing Triggers - Operating</t>
  </si>
  <si>
    <t>Loan Issuance Fees</t>
  </si>
  <si>
    <t>Total Costs Excluding Loan Issuance Fees</t>
  </si>
  <si>
    <t>Total Costs Excluding Loan Issuance Fees and Interest</t>
  </si>
  <si>
    <t>Construction Loan Issuance Date</t>
  </si>
  <si>
    <t>Period Months</t>
  </si>
  <si>
    <t>Loan Issuance Fee</t>
  </si>
  <si>
    <t>% Per Year</t>
  </si>
  <si>
    <t>Pro Forma</t>
  </si>
  <si>
    <t>Pro Forma Calculations</t>
  </si>
  <si>
    <t>Cumulative Interest Cross-Check /w Proforma</t>
  </si>
  <si>
    <t>Total Average Invested Capital</t>
  </si>
  <si>
    <t>Total Average Equity Invested</t>
  </si>
  <si>
    <t>Recurring Income Only</t>
  </si>
  <si>
    <t>Avg of Beginning and Ending</t>
  </si>
  <si>
    <t>Equity Distribution</t>
  </si>
  <si>
    <t>Cash Balance</t>
  </si>
  <si>
    <t>Ending Cash Balance</t>
  </si>
  <si>
    <t>Plus: NOI</t>
  </si>
  <si>
    <t>Less: Equity Distribution(s)</t>
  </si>
  <si>
    <t>CoC Multiple (Levered)</t>
  </si>
  <si>
    <t>CoC Multiple (Lev.)</t>
  </si>
  <si>
    <t>CoC (Since Project Inception) (Levered)</t>
  </si>
  <si>
    <t>Less: Investing &amp; Financing Cash Flows (Before Equity Distribution[s])</t>
  </si>
  <si>
    <t>Levered IRR - Mkt v. Subject Occupancy Rate</t>
  </si>
  <si>
    <t>ABC Hotel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</si>
</sst>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5" formatCode="&quot;$&quot;#,##0_);\(&quot;$&quot;#,##0\)"/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;@"/>
    <numFmt numFmtId="165" formatCode="&quot;FY&quot;yy;@"/>
    <numFmt numFmtId="166" formatCode="_(* #,##0.0_);_(* \(#,##0.0\);_(* &quot;-&quot;??_);_(@_)"/>
    <numFmt numFmtId="167" formatCode="_(* #,##0_);_(* \(#,##0\);_(* &quot;-&quot;??_);_(@_)"/>
    <numFmt numFmtId="168" formatCode="_(&quot;$&quot;* #,##0.0_);_(&quot;$&quot;* \(#,##0.0\);_(&quot;$&quot;* &quot;-&quot;??_);_(@_)"/>
    <numFmt numFmtId="169" formatCode="_(&quot;$&quot;* #,##0_);_(&quot;$&quot;* \(#,##0\);_(&quot;$&quot;* &quot;-&quot;??_);_(@_)"/>
    <numFmt numFmtId="170" formatCode="_(* #,##0.00_);_(* \(#,##0.00\);_(* &quot;-&quot;?_);_(@_)"/>
    <numFmt numFmtId="171" formatCode="0.0%"/>
    <numFmt numFmtId="172" formatCode="#,##0.00\ \x_);\(#,##0.00\ \x\)"/>
    <numFmt numFmtId="173" formatCode="0.000%"/>
    <numFmt numFmtId="174" formatCode="#,##0.0\ \x_);\(#,##0.0\ \x\)"/>
    <numFmt numFmtId="175" formatCode="&quot;$&quot;#,##0.0_);\(&quot;$&quot;#,##0.0\)"/>
    <numFmt numFmtId="176" formatCode="0.000000000000%"/>
    <numFmt numFmtId="177" formatCode="0.00000000000000%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sz val="10"/>
      <color rgb="FF0070C0"/>
      <name val="Arial"/>
      <family val="2"/>
    </font>
    <font>
      <i/>
      <sz val="10"/>
      <color theme="1"/>
      <name val="Arial"/>
      <family val="2"/>
    </font>
    <font>
      <b/>
      <u val="singleAccounting"/>
      <sz val="10"/>
      <color theme="0"/>
      <name val="Arial"/>
      <family val="2"/>
    </font>
    <font>
      <b/>
      <sz val="18"/>
      <color theme="1"/>
      <name val="Arial"/>
      <family val="2"/>
    </font>
    <font>
      <sz val="10"/>
      <name val="Arial"/>
      <family val="2"/>
    </font>
    <font>
      <b/>
      <i/>
      <sz val="10"/>
      <color theme="1"/>
      <name val="Arial"/>
      <family val="2"/>
    </font>
    <font>
      <b/>
      <sz val="10"/>
      <name val="Arial"/>
      <family val="2"/>
    </font>
    <font>
      <b/>
      <sz val="10"/>
      <color rgb="FF0070C0"/>
      <name val="Arial"/>
      <family val="2"/>
    </font>
    <font>
      <sz val="10"/>
      <color theme="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rgb="FFC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9" tint="0.59999389629810485"/>
        <bgColor indexed="64"/>
      </patternFill>
    </fill>
  </fills>
  <borders count="4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medium">
        <color indexed="64"/>
      </left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medium">
        <color indexed="64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medium">
        <color indexed="64"/>
      </left>
      <right/>
      <top style="hair">
        <color auto="1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hair">
        <color auto="1"/>
      </bottom>
      <diagonal/>
    </border>
    <border>
      <left style="thick">
        <color indexed="64"/>
      </left>
      <right/>
      <top style="hair">
        <color auto="1"/>
      </top>
      <bottom style="hair">
        <color auto="1"/>
      </bottom>
      <diagonal/>
    </border>
    <border>
      <left style="thick">
        <color indexed="64"/>
      </left>
      <right/>
      <top style="hair">
        <color auto="1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52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2" xfId="0" applyFont="1" applyBorder="1"/>
    <xf numFmtId="0" fontId="2" fillId="0" borderId="2" xfId="0" applyFont="1" applyBorder="1"/>
    <xf numFmtId="0" fontId="3" fillId="2" borderId="1" xfId="0" applyFont="1" applyFill="1" applyBorder="1"/>
    <xf numFmtId="0" fontId="2" fillId="2" borderId="1" xfId="0" applyFont="1" applyFill="1" applyBorder="1"/>
    <xf numFmtId="0" fontId="5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6" fillId="0" borderId="0" xfId="0" applyFont="1"/>
    <xf numFmtId="0" fontId="3" fillId="0" borderId="0" xfId="0" applyFont="1" applyAlignment="1">
      <alignment horizontal="center"/>
    </xf>
    <xf numFmtId="0" fontId="8" fillId="0" borderId="0" xfId="0" applyFont="1"/>
    <xf numFmtId="166" fontId="2" fillId="0" borderId="0" xfId="1" applyNumberFormat="1" applyFont="1"/>
    <xf numFmtId="167" fontId="2" fillId="0" borderId="0" xfId="1" applyNumberFormat="1" applyFont="1"/>
    <xf numFmtId="0" fontId="4" fillId="0" borderId="0" xfId="0" applyFont="1"/>
    <xf numFmtId="169" fontId="2" fillId="0" borderId="0" xfId="2" applyNumberFormat="1" applyFont="1"/>
    <xf numFmtId="166" fontId="3" fillId="2" borderId="1" xfId="0" applyNumberFormat="1" applyFont="1" applyFill="1" applyBorder="1"/>
    <xf numFmtId="167" fontId="3" fillId="2" borderId="1" xfId="0" applyNumberFormat="1" applyFont="1" applyFill="1" applyBorder="1"/>
    <xf numFmtId="0" fontId="4" fillId="3" borderId="0" xfId="0" applyFont="1" applyFill="1"/>
    <xf numFmtId="0" fontId="10" fillId="0" borderId="2" xfId="0" applyFont="1" applyBorder="1" applyAlignment="1">
      <alignment horizontal="center"/>
    </xf>
    <xf numFmtId="0" fontId="3" fillId="0" borderId="1" xfId="0" applyFont="1" applyBorder="1"/>
    <xf numFmtId="10" fontId="2" fillId="0" borderId="0" xfId="3" applyNumberFormat="1" applyFont="1" applyAlignment="1">
      <alignment horizontal="right"/>
    </xf>
    <xf numFmtId="0" fontId="2" fillId="0" borderId="0" xfId="0" applyFont="1" applyAlignment="1">
      <alignment horizontal="right"/>
    </xf>
    <xf numFmtId="164" fontId="2" fillId="0" borderId="0" xfId="0" applyNumberFormat="1" applyFont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10" fontId="5" fillId="0" borderId="0" xfId="0" applyNumberFormat="1" applyFont="1"/>
    <xf numFmtId="44" fontId="2" fillId="0" borderId="0" xfId="2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5" xfId="0" applyFont="1" applyBorder="1"/>
    <xf numFmtId="0" fontId="2" fillId="0" borderId="16" xfId="0" applyFont="1" applyBorder="1"/>
    <xf numFmtId="0" fontId="2" fillId="0" borderId="17" xfId="0" applyFont="1" applyBorder="1"/>
    <xf numFmtId="0" fontId="2" fillId="2" borderId="12" xfId="0" applyFont="1" applyFill="1" applyBorder="1"/>
    <xf numFmtId="0" fontId="2" fillId="2" borderId="2" xfId="0" applyFont="1" applyFill="1" applyBorder="1"/>
    <xf numFmtId="0" fontId="2" fillId="2" borderId="13" xfId="0" applyFont="1" applyFill="1" applyBorder="1"/>
    <xf numFmtId="0" fontId="2" fillId="2" borderId="14" xfId="0" applyFont="1" applyFill="1" applyBorder="1"/>
    <xf numFmtId="0" fontId="3" fillId="2" borderId="0" xfId="0" applyFont="1" applyFill="1"/>
    <xf numFmtId="0" fontId="2" fillId="2" borderId="0" xfId="0" applyFont="1" applyFill="1"/>
    <xf numFmtId="0" fontId="2" fillId="2" borderId="15" xfId="0" applyFont="1" applyFill="1" applyBorder="1"/>
    <xf numFmtId="0" fontId="6" fillId="2" borderId="0" xfId="0" applyFont="1" applyFill="1" applyAlignment="1">
      <alignment horizontal="center"/>
    </xf>
    <xf numFmtId="10" fontId="5" fillId="2" borderId="0" xfId="0" applyNumberFormat="1" applyFont="1" applyFill="1"/>
    <xf numFmtId="10" fontId="2" fillId="2" borderId="0" xfId="0" applyNumberFormat="1" applyFont="1" applyFill="1"/>
    <xf numFmtId="0" fontId="3" fillId="2" borderId="2" xfId="0" applyFont="1" applyFill="1" applyBorder="1"/>
    <xf numFmtId="10" fontId="3" fillId="2" borderId="2" xfId="3" applyNumberFormat="1" applyFont="1" applyFill="1" applyBorder="1"/>
    <xf numFmtId="0" fontId="2" fillId="2" borderId="16" xfId="0" applyFont="1" applyFill="1" applyBorder="1"/>
    <xf numFmtId="0" fontId="2" fillId="2" borderId="3" xfId="0" applyFont="1" applyFill="1" applyBorder="1"/>
    <xf numFmtId="0" fontId="2" fillId="2" borderId="17" xfId="0" applyFont="1" applyFill="1" applyBorder="1"/>
    <xf numFmtId="44" fontId="5" fillId="2" borderId="0" xfId="2" applyFont="1" applyFill="1" applyBorder="1"/>
    <xf numFmtId="44" fontId="2" fillId="2" borderId="0" xfId="2" applyFont="1" applyFill="1" applyBorder="1"/>
    <xf numFmtId="44" fontId="3" fillId="2" borderId="2" xfId="2" applyFont="1" applyFill="1" applyBorder="1"/>
    <xf numFmtId="10" fontId="9" fillId="2" borderId="0" xfId="0" quotePrefix="1" applyNumberFormat="1" applyFont="1" applyFill="1" applyAlignment="1">
      <alignment horizontal="right"/>
    </xf>
    <xf numFmtId="10" fontId="3" fillId="2" borderId="2" xfId="3" applyNumberFormat="1" applyFont="1" applyFill="1" applyBorder="1" applyAlignment="1">
      <alignment horizontal="right"/>
    </xf>
    <xf numFmtId="44" fontId="9" fillId="2" borderId="0" xfId="2" applyFont="1" applyFill="1" applyBorder="1"/>
    <xf numFmtId="0" fontId="2" fillId="4" borderId="12" xfId="0" applyFont="1" applyFill="1" applyBorder="1"/>
    <xf numFmtId="0" fontId="2" fillId="4" borderId="2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3" fillId="4" borderId="0" xfId="0" applyFont="1" applyFill="1"/>
    <xf numFmtId="0" fontId="2" fillId="4" borderId="0" xfId="0" applyFont="1" applyFill="1"/>
    <xf numFmtId="0" fontId="2" fillId="4" borderId="15" xfId="0" applyFont="1" applyFill="1" applyBorder="1"/>
    <xf numFmtId="0" fontId="6" fillId="4" borderId="0" xfId="0" applyFont="1" applyFill="1" applyAlignment="1">
      <alignment horizontal="center"/>
    </xf>
    <xf numFmtId="10" fontId="5" fillId="4" borderId="0" xfId="0" applyNumberFormat="1" applyFont="1" applyFill="1"/>
    <xf numFmtId="10" fontId="9" fillId="4" borderId="0" xfId="0" applyNumberFormat="1" applyFont="1" applyFill="1"/>
    <xf numFmtId="0" fontId="3" fillId="4" borderId="2" xfId="0" applyFont="1" applyFill="1" applyBorder="1"/>
    <xf numFmtId="10" fontId="3" fillId="4" borderId="2" xfId="3" applyNumberFormat="1" applyFont="1" applyFill="1" applyBorder="1" applyAlignment="1">
      <alignment horizontal="right"/>
    </xf>
    <xf numFmtId="10" fontId="3" fillId="4" borderId="2" xfId="3" applyNumberFormat="1" applyFont="1" applyFill="1" applyBorder="1"/>
    <xf numFmtId="0" fontId="2" fillId="4" borderId="16" xfId="0" applyFont="1" applyFill="1" applyBorder="1"/>
    <xf numFmtId="0" fontId="2" fillId="4" borderId="3" xfId="0" applyFont="1" applyFill="1" applyBorder="1"/>
    <xf numFmtId="0" fontId="2" fillId="4" borderId="17" xfId="0" applyFont="1" applyFill="1" applyBorder="1"/>
    <xf numFmtId="0" fontId="2" fillId="5" borderId="12" xfId="0" applyFont="1" applyFill="1" applyBorder="1"/>
    <xf numFmtId="0" fontId="2" fillId="5" borderId="2" xfId="0" applyFont="1" applyFill="1" applyBorder="1"/>
    <xf numFmtId="0" fontId="2" fillId="5" borderId="13" xfId="0" applyFont="1" applyFill="1" applyBorder="1"/>
    <xf numFmtId="0" fontId="2" fillId="5" borderId="14" xfId="0" applyFont="1" applyFill="1" applyBorder="1"/>
    <xf numFmtId="0" fontId="3" fillId="5" borderId="0" xfId="0" applyFont="1" applyFill="1"/>
    <xf numFmtId="0" fontId="2" fillId="5" borderId="0" xfId="0" applyFont="1" applyFill="1"/>
    <xf numFmtId="0" fontId="2" fillId="5" borderId="15" xfId="0" applyFont="1" applyFill="1" applyBorder="1"/>
    <xf numFmtId="0" fontId="6" fillId="5" borderId="0" xfId="0" applyFont="1" applyFill="1" applyAlignment="1">
      <alignment horizontal="center"/>
    </xf>
    <xf numFmtId="10" fontId="5" fillId="5" borderId="0" xfId="0" applyNumberFormat="1" applyFont="1" applyFill="1"/>
    <xf numFmtId="10" fontId="9" fillId="5" borderId="0" xfId="0" applyNumberFormat="1" applyFont="1" applyFill="1"/>
    <xf numFmtId="0" fontId="3" fillId="5" borderId="2" xfId="0" applyFont="1" applyFill="1" applyBorder="1"/>
    <xf numFmtId="10" fontId="3" fillId="5" borderId="2" xfId="3" applyNumberFormat="1" applyFont="1" applyFill="1" applyBorder="1" applyAlignment="1">
      <alignment horizontal="right"/>
    </xf>
    <xf numFmtId="10" fontId="3" fillId="5" borderId="2" xfId="3" applyNumberFormat="1" applyFont="1" applyFill="1" applyBorder="1"/>
    <xf numFmtId="0" fontId="2" fillId="5" borderId="16" xfId="0" applyFont="1" applyFill="1" applyBorder="1"/>
    <xf numFmtId="0" fontId="2" fillId="5" borderId="3" xfId="0" applyFont="1" applyFill="1" applyBorder="1"/>
    <xf numFmtId="0" fontId="2" fillId="5" borderId="17" xfId="0" applyFont="1" applyFill="1" applyBorder="1"/>
    <xf numFmtId="44" fontId="5" fillId="5" borderId="0" xfId="2" applyFont="1" applyFill="1" applyBorder="1"/>
    <xf numFmtId="44" fontId="9" fillId="5" borderId="0" xfId="2" applyFont="1" applyFill="1" applyBorder="1"/>
    <xf numFmtId="44" fontId="2" fillId="5" borderId="0" xfId="2" applyFont="1" applyFill="1" applyBorder="1"/>
    <xf numFmtId="44" fontId="3" fillId="5" borderId="2" xfId="2" applyFont="1" applyFill="1" applyBorder="1"/>
    <xf numFmtId="10" fontId="9" fillId="5" borderId="0" xfId="0" quotePrefix="1" applyNumberFormat="1" applyFont="1" applyFill="1" applyAlignment="1">
      <alignment horizontal="right"/>
    </xf>
    <xf numFmtId="0" fontId="7" fillId="6" borderId="0" xfId="0" applyFont="1" applyFill="1" applyAlignment="1">
      <alignment horizontal="centerContinuous" vertical="top"/>
    </xf>
    <xf numFmtId="165" fontId="4" fillId="6" borderId="0" xfId="0" applyNumberFormat="1" applyFont="1" applyFill="1" applyAlignment="1">
      <alignment horizontal="center"/>
    </xf>
    <xf numFmtId="164" fontId="4" fillId="6" borderId="0" xfId="0" applyNumberFormat="1" applyFont="1" applyFill="1" applyAlignment="1">
      <alignment horizontal="center"/>
    </xf>
    <xf numFmtId="0" fontId="4" fillId="6" borderId="1" xfId="0" applyFont="1" applyFill="1" applyBorder="1"/>
    <xf numFmtId="167" fontId="3" fillId="0" borderId="1" xfId="0" applyNumberFormat="1" applyFont="1" applyBorder="1"/>
    <xf numFmtId="167" fontId="3" fillId="0" borderId="1" xfId="1" applyNumberFormat="1" applyFont="1" applyBorder="1"/>
    <xf numFmtId="43" fontId="2" fillId="0" borderId="0" xfId="1" applyFont="1" applyBorder="1"/>
    <xf numFmtId="167" fontId="2" fillId="0" borderId="0" xfId="1" applyNumberFormat="1" applyFont="1" applyBorder="1"/>
    <xf numFmtId="167" fontId="2" fillId="0" borderId="0" xfId="0" applyNumberFormat="1" applyFont="1"/>
    <xf numFmtId="10" fontId="2" fillId="0" borderId="0" xfId="3" applyNumberFormat="1" applyFont="1" applyBorder="1"/>
    <xf numFmtId="167" fontId="2" fillId="0" borderId="0" xfId="1" applyNumberFormat="1" applyFont="1" applyFill="1" applyBorder="1"/>
    <xf numFmtId="169" fontId="2" fillId="0" borderId="0" xfId="0" applyNumberFormat="1" applyFont="1"/>
    <xf numFmtId="10" fontId="5" fillId="0" borderId="0" xfId="0" applyNumberFormat="1" applyFont="1" applyAlignment="1">
      <alignment horizontal="right"/>
    </xf>
    <xf numFmtId="10" fontId="9" fillId="0" borderId="0" xfId="0" applyNumberFormat="1" applyFont="1" applyAlignment="1">
      <alignment horizontal="right"/>
    </xf>
    <xf numFmtId="43" fontId="5" fillId="0" borderId="0" xfId="1" applyFont="1" applyBorder="1"/>
    <xf numFmtId="169" fontId="9" fillId="0" borderId="0" xfId="2" applyNumberFormat="1" applyFont="1" applyBorder="1"/>
    <xf numFmtId="164" fontId="9" fillId="0" borderId="0" xfId="2" applyNumberFormat="1" applyFont="1" applyBorder="1"/>
    <xf numFmtId="169" fontId="2" fillId="0" borderId="0" xfId="2" applyNumberFormat="1" applyFont="1" applyBorder="1"/>
    <xf numFmtId="0" fontId="2" fillId="0" borderId="0" xfId="0" applyFont="1" applyAlignment="1">
      <alignment horizontal="center"/>
    </xf>
    <xf numFmtId="10" fontId="6" fillId="0" borderId="0" xfId="3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37" fontId="2" fillId="0" borderId="0" xfId="0" applyNumberFormat="1" applyFont="1" applyAlignment="1">
      <alignment horizontal="right" indent="2"/>
    </xf>
    <xf numFmtId="5" fontId="11" fillId="0" borderId="2" xfId="2" applyNumberFormat="1" applyFont="1" applyBorder="1" applyAlignment="1">
      <alignment horizontal="right"/>
    </xf>
    <xf numFmtId="5" fontId="2" fillId="0" borderId="0" xfId="0" applyNumberFormat="1" applyFont="1" applyAlignment="1">
      <alignment horizontal="right"/>
    </xf>
    <xf numFmtId="169" fontId="4" fillId="6" borderId="1" xfId="2" applyNumberFormat="1" applyFont="1" applyFill="1" applyBorder="1"/>
    <xf numFmtId="0" fontId="2" fillId="0" borderId="1" xfId="0" applyFont="1" applyBorder="1"/>
    <xf numFmtId="166" fontId="3" fillId="0" borderId="1" xfId="1" applyNumberFormat="1" applyFont="1" applyBorder="1"/>
    <xf numFmtId="166" fontId="3" fillId="0" borderId="1" xfId="0" applyNumberFormat="1" applyFont="1" applyBorder="1"/>
    <xf numFmtId="166" fontId="2" fillId="0" borderId="0" xfId="1" applyNumberFormat="1" applyFont="1" applyBorder="1"/>
    <xf numFmtId="168" fontId="4" fillId="0" borderId="0" xfId="2" applyNumberFormat="1" applyFont="1" applyFill="1" applyBorder="1"/>
    <xf numFmtId="0" fontId="3" fillId="0" borderId="8" xfId="0" applyFont="1" applyBorder="1"/>
    <xf numFmtId="168" fontId="4" fillId="0" borderId="8" xfId="2" applyNumberFormat="1" applyFont="1" applyFill="1" applyBorder="1"/>
    <xf numFmtId="0" fontId="4" fillId="0" borderId="7" xfId="0" applyFont="1" applyBorder="1"/>
    <xf numFmtId="166" fontId="2" fillId="0" borderId="0" xfId="1" applyNumberFormat="1" applyFont="1" applyFill="1" applyBorder="1"/>
    <xf numFmtId="170" fontId="3" fillId="2" borderId="1" xfId="0" applyNumberFormat="1" applyFont="1" applyFill="1" applyBorder="1"/>
    <xf numFmtId="9" fontId="2" fillId="0" borderId="0" xfId="0" applyNumberFormat="1" applyFont="1"/>
    <xf numFmtId="171" fontId="2" fillId="0" borderId="0" xfId="3" applyNumberFormat="1" applyFont="1"/>
    <xf numFmtId="43" fontId="2" fillId="0" borderId="0" xfId="1" applyFont="1"/>
    <xf numFmtId="5" fontId="2" fillId="0" borderId="0" xfId="0" applyNumberFormat="1" applyFont="1"/>
    <xf numFmtId="10" fontId="2" fillId="0" borderId="0" xfId="3" applyNumberFormat="1" applyFont="1"/>
    <xf numFmtId="172" fontId="2" fillId="0" borderId="0" xfId="3" applyNumberFormat="1" applyFont="1" applyAlignment="1">
      <alignment horizontal="right"/>
    </xf>
    <xf numFmtId="10" fontId="5" fillId="0" borderId="0" xfId="0" applyNumberFormat="1" applyFont="1" applyAlignment="1">
      <alignment horizontal="left"/>
    </xf>
    <xf numFmtId="0" fontId="2" fillId="3" borderId="0" xfId="0" applyFont="1" applyFill="1"/>
    <xf numFmtId="10" fontId="3" fillId="0" borderId="2" xfId="3" applyNumberFormat="1" applyFont="1" applyFill="1" applyBorder="1" applyAlignment="1">
      <alignment horizontal="right"/>
    </xf>
    <xf numFmtId="171" fontId="9" fillId="0" borderId="0" xfId="0" applyNumberFormat="1" applyFont="1" applyAlignment="1">
      <alignment horizontal="right"/>
    </xf>
    <xf numFmtId="172" fontId="9" fillId="0" borderId="0" xfId="0" applyNumberFormat="1" applyFont="1" applyAlignment="1">
      <alignment horizontal="right"/>
    </xf>
    <xf numFmtId="171" fontId="2" fillId="0" borderId="0" xfId="3" applyNumberFormat="1" applyFont="1" applyAlignment="1">
      <alignment horizontal="right"/>
    </xf>
    <xf numFmtId="10" fontId="2" fillId="0" borderId="0" xfId="3" applyNumberFormat="1" applyFont="1" applyFill="1" applyBorder="1"/>
    <xf numFmtId="10" fontId="9" fillId="0" borderId="0" xfId="3" applyNumberFormat="1" applyFont="1" applyFill="1" applyBorder="1" applyAlignment="1">
      <alignment horizontal="right"/>
    </xf>
    <xf numFmtId="10" fontId="2" fillId="0" borderId="0" xfId="3" applyNumberFormat="1" applyFont="1" applyFill="1" applyBorder="1" applyAlignment="1">
      <alignment horizontal="right"/>
    </xf>
    <xf numFmtId="10" fontId="2" fillId="0" borderId="20" xfId="0" applyNumberFormat="1" applyFont="1" applyBorder="1" applyAlignment="1">
      <alignment horizontal="center"/>
    </xf>
    <xf numFmtId="10" fontId="2" fillId="0" borderId="21" xfId="0" applyNumberFormat="1" applyFont="1" applyBorder="1" applyAlignment="1">
      <alignment horizontal="center"/>
    </xf>
    <xf numFmtId="10" fontId="2" fillId="0" borderId="22" xfId="0" applyNumberFormat="1" applyFont="1" applyBorder="1" applyAlignment="1">
      <alignment horizontal="center"/>
    </xf>
    <xf numFmtId="10" fontId="2" fillId="0" borderId="18" xfId="0" applyNumberFormat="1" applyFont="1" applyBorder="1" applyAlignment="1">
      <alignment horizontal="center"/>
    </xf>
    <xf numFmtId="10" fontId="2" fillId="0" borderId="1" xfId="0" applyNumberFormat="1" applyFont="1" applyBorder="1" applyAlignment="1">
      <alignment horizontal="center"/>
    </xf>
    <xf numFmtId="10" fontId="5" fillId="0" borderId="0" xfId="0" applyNumberFormat="1" applyFont="1" applyAlignment="1">
      <alignment horizontal="center"/>
    </xf>
    <xf numFmtId="10" fontId="5" fillId="0" borderId="21" xfId="0" applyNumberFormat="1" applyFont="1" applyBorder="1" applyAlignment="1">
      <alignment horizontal="center"/>
    </xf>
    <xf numFmtId="10" fontId="5" fillId="0" borderId="1" xfId="0" applyNumberFormat="1" applyFont="1" applyBorder="1" applyAlignment="1">
      <alignment horizontal="center"/>
    </xf>
    <xf numFmtId="171" fontId="9" fillId="0" borderId="1" xfId="0" applyNumberFormat="1" applyFont="1" applyBorder="1" applyAlignment="1">
      <alignment horizontal="center"/>
    </xf>
    <xf numFmtId="172" fontId="9" fillId="0" borderId="19" xfId="0" applyNumberFormat="1" applyFont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173" fontId="2" fillId="0" borderId="0" xfId="0" applyNumberFormat="1" applyFont="1" applyAlignment="1">
      <alignment horizontal="center"/>
    </xf>
    <xf numFmtId="0" fontId="4" fillId="0" borderId="0" xfId="0" applyFont="1" applyAlignment="1">
      <alignment vertical="center" wrapText="1"/>
    </xf>
    <xf numFmtId="171" fontId="2" fillId="0" borderId="20" xfId="0" applyNumberFormat="1" applyFont="1" applyBorder="1" applyAlignment="1">
      <alignment horizontal="center"/>
    </xf>
    <xf numFmtId="171" fontId="2" fillId="0" borderId="21" xfId="0" applyNumberFormat="1" applyFont="1" applyBorder="1" applyAlignment="1">
      <alignment horizontal="center"/>
    </xf>
    <xf numFmtId="171" fontId="2" fillId="0" borderId="22" xfId="0" applyNumberFormat="1" applyFont="1" applyBorder="1" applyAlignment="1">
      <alignment horizontal="center"/>
    </xf>
    <xf numFmtId="168" fontId="4" fillId="6" borderId="1" xfId="2" applyNumberFormat="1" applyFont="1" applyFill="1" applyBorder="1"/>
    <xf numFmtId="10" fontId="2" fillId="0" borderId="19" xfId="0" applyNumberFormat="1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15" xfId="0" applyFont="1" applyBorder="1" applyAlignment="1">
      <alignment horizontal="right"/>
    </xf>
    <xf numFmtId="37" fontId="5" fillId="0" borderId="0" xfId="1" applyNumberFormat="1" applyFont="1" applyBorder="1" applyAlignment="1">
      <alignment horizontal="center"/>
    </xf>
    <xf numFmtId="167" fontId="5" fillId="0" borderId="15" xfId="1" applyNumberFormat="1" applyFont="1" applyBorder="1"/>
    <xf numFmtId="167" fontId="9" fillId="0" borderId="15" xfId="1" applyNumberFormat="1" applyFont="1" applyBorder="1"/>
    <xf numFmtId="164" fontId="5" fillId="0" borderId="15" xfId="0" applyNumberFormat="1" applyFont="1" applyBorder="1"/>
    <xf numFmtId="5" fontId="5" fillId="0" borderId="0" xfId="1" applyNumberFormat="1" applyFont="1" applyBorder="1" applyAlignment="1">
      <alignment horizontal="center"/>
    </xf>
    <xf numFmtId="43" fontId="5" fillId="0" borderId="15" xfId="1" applyFont="1" applyBorder="1"/>
    <xf numFmtId="0" fontId="6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7" xfId="0" applyFont="1" applyBorder="1" applyAlignment="1">
      <alignment horizontal="right"/>
    </xf>
    <xf numFmtId="0" fontId="4" fillId="6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169" fontId="2" fillId="0" borderId="15" xfId="2" applyNumberFormat="1" applyFont="1" applyBorder="1"/>
    <xf numFmtId="169" fontId="3" fillId="0" borderId="15" xfId="2" applyNumberFormat="1" applyFont="1" applyBorder="1"/>
    <xf numFmtId="169" fontId="2" fillId="0" borderId="15" xfId="0" applyNumberFormat="1" applyFont="1" applyBorder="1"/>
    <xf numFmtId="0" fontId="2" fillId="0" borderId="3" xfId="0" applyFont="1" applyBorder="1" applyAlignment="1">
      <alignment horizontal="right"/>
    </xf>
    <xf numFmtId="5" fontId="2" fillId="0" borderId="0" xfId="2" applyNumberFormat="1" applyFont="1" applyBorder="1" applyAlignment="1">
      <alignment horizontal="right"/>
    </xf>
    <xf numFmtId="5" fontId="3" fillId="0" borderId="2" xfId="2" applyNumberFormat="1" applyFont="1" applyBorder="1" applyAlignment="1">
      <alignment horizontal="right"/>
    </xf>
    <xf numFmtId="39" fontId="5" fillId="0" borderId="0" xfId="1" applyNumberFormat="1" applyFont="1" applyBorder="1" applyAlignment="1">
      <alignment horizontal="right"/>
    </xf>
    <xf numFmtId="5" fontId="5" fillId="0" borderId="0" xfId="2" applyNumberFormat="1" applyFont="1" applyBorder="1" applyAlignment="1">
      <alignment horizontal="right"/>
    </xf>
    <xf numFmtId="169" fontId="5" fillId="0" borderId="15" xfId="2" applyNumberFormat="1" applyFont="1" applyBorder="1"/>
    <xf numFmtId="169" fontId="11" fillId="0" borderId="15" xfId="2" applyNumberFormat="1" applyFont="1" applyBorder="1"/>
    <xf numFmtId="10" fontId="5" fillId="0" borderId="0" xfId="3" applyNumberFormat="1" applyFont="1" applyBorder="1" applyAlignment="1">
      <alignment horizontal="right"/>
    </xf>
    <xf numFmtId="169" fontId="3" fillId="0" borderId="15" xfId="0" applyNumberFormat="1" applyFont="1" applyBorder="1"/>
    <xf numFmtId="0" fontId="10" fillId="0" borderId="0" xfId="0" applyFont="1" applyAlignment="1">
      <alignment horizontal="center"/>
    </xf>
    <xf numFmtId="5" fontId="9" fillId="0" borderId="0" xfId="2" applyNumberFormat="1" applyFont="1" applyBorder="1" applyAlignment="1">
      <alignment horizontal="right"/>
    </xf>
    <xf numFmtId="10" fontId="5" fillId="0" borderId="15" xfId="0" applyNumberFormat="1" applyFont="1" applyBorder="1"/>
    <xf numFmtId="10" fontId="5" fillId="0" borderId="15" xfId="0" applyNumberFormat="1" applyFont="1" applyBorder="1" applyAlignment="1">
      <alignment horizontal="right"/>
    </xf>
    <xf numFmtId="10" fontId="9" fillId="0" borderId="15" xfId="0" applyNumberFormat="1" applyFont="1" applyBorder="1" applyAlignment="1">
      <alignment horizontal="right"/>
    </xf>
    <xf numFmtId="169" fontId="9" fillId="0" borderId="15" xfId="2" applyNumberFormat="1" applyFont="1" applyBorder="1"/>
    <xf numFmtId="164" fontId="9" fillId="0" borderId="15" xfId="2" applyNumberFormat="1" applyFont="1" applyBorder="1"/>
    <xf numFmtId="0" fontId="4" fillId="0" borderId="3" xfId="0" applyFont="1" applyBorder="1"/>
    <xf numFmtId="5" fontId="12" fillId="0" borderId="2" xfId="2" applyNumberFormat="1" applyFont="1" applyBorder="1" applyAlignment="1">
      <alignment horizontal="right"/>
    </xf>
    <xf numFmtId="5" fontId="11" fillId="0" borderId="2" xfId="0" applyNumberFormat="1" applyFont="1" applyBorder="1" applyAlignment="1">
      <alignment horizontal="right"/>
    </xf>
    <xf numFmtId="7" fontId="11" fillId="0" borderId="2" xfId="0" applyNumberFormat="1" applyFont="1" applyBorder="1" applyAlignment="1">
      <alignment horizontal="right"/>
    </xf>
    <xf numFmtId="7" fontId="3" fillId="0" borderId="0" xfId="2" applyNumberFormat="1" applyFont="1" applyBorder="1" applyAlignment="1">
      <alignment horizontal="right"/>
    </xf>
    <xf numFmtId="5" fontId="3" fillId="0" borderId="0" xfId="2" applyNumberFormat="1" applyFont="1" applyBorder="1" applyAlignment="1">
      <alignment horizontal="right"/>
    </xf>
    <xf numFmtId="7" fontId="3" fillId="0" borderId="2" xfId="2" applyNumberFormat="1" applyFont="1" applyBorder="1" applyAlignment="1">
      <alignment horizontal="right"/>
    </xf>
    <xf numFmtId="5" fontId="3" fillId="0" borderId="0" xfId="0" applyNumberFormat="1" applyFont="1" applyAlignment="1">
      <alignment horizontal="right"/>
    </xf>
    <xf numFmtId="7" fontId="3" fillId="0" borderId="0" xfId="0" applyNumberFormat="1" applyFont="1" applyAlignment="1">
      <alignment horizontal="right"/>
    </xf>
    <xf numFmtId="5" fontId="3" fillId="0" borderId="2" xfId="0" applyNumberFormat="1" applyFont="1" applyBorder="1" applyAlignment="1">
      <alignment horizontal="right"/>
    </xf>
    <xf numFmtId="7" fontId="3" fillId="0" borderId="2" xfId="0" applyNumberFormat="1" applyFont="1" applyBorder="1" applyAlignment="1">
      <alignment horizontal="right"/>
    </xf>
    <xf numFmtId="7" fontId="5" fillId="0" borderId="0" xfId="2" applyNumberFormat="1" applyFont="1" applyBorder="1" applyAlignment="1">
      <alignment horizontal="right"/>
    </xf>
    <xf numFmtId="5" fontId="9" fillId="0" borderId="0" xfId="0" applyNumberFormat="1" applyFont="1" applyAlignment="1">
      <alignment horizontal="right"/>
    </xf>
    <xf numFmtId="7" fontId="9" fillId="0" borderId="0" xfId="0" applyNumberFormat="1" applyFont="1" applyAlignment="1">
      <alignment horizontal="right"/>
    </xf>
    <xf numFmtId="5" fontId="5" fillId="0" borderId="0" xfId="3" applyNumberFormat="1" applyFont="1" applyBorder="1" applyAlignment="1">
      <alignment horizontal="right"/>
    </xf>
    <xf numFmtId="7" fontId="2" fillId="0" borderId="0" xfId="0" applyNumberFormat="1" applyFont="1" applyAlignment="1">
      <alignment horizontal="right"/>
    </xf>
    <xf numFmtId="10" fontId="2" fillId="0" borderId="15" xfId="3" applyNumberFormat="1" applyFont="1" applyBorder="1" applyAlignment="1">
      <alignment horizontal="right" indent="1"/>
    </xf>
    <xf numFmtId="0" fontId="2" fillId="0" borderId="15" xfId="0" applyFont="1" applyBorder="1" applyAlignment="1">
      <alignment horizontal="right" indent="1"/>
    </xf>
    <xf numFmtId="10" fontId="3" fillId="0" borderId="13" xfId="3" applyNumberFormat="1" applyFont="1" applyBorder="1" applyAlignment="1">
      <alignment horizontal="right" indent="1"/>
    </xf>
    <xf numFmtId="0" fontId="4" fillId="0" borderId="2" xfId="0" applyFont="1" applyBorder="1"/>
    <xf numFmtId="0" fontId="6" fillId="0" borderId="15" xfId="0" applyFont="1" applyBorder="1" applyAlignment="1">
      <alignment horizontal="center"/>
    </xf>
    <xf numFmtId="0" fontId="3" fillId="0" borderId="15" xfId="0" applyFont="1" applyBorder="1"/>
    <xf numFmtId="0" fontId="13" fillId="6" borderId="0" xfId="0" applyFont="1" applyFill="1"/>
    <xf numFmtId="0" fontId="4" fillId="6" borderId="0" xfId="0" applyFont="1" applyFill="1"/>
    <xf numFmtId="0" fontId="3" fillId="6" borderId="0" xfId="0" applyFont="1" applyFill="1"/>
    <xf numFmtId="10" fontId="3" fillId="0" borderId="15" xfId="3" applyNumberFormat="1" applyFont="1" applyBorder="1" applyAlignment="1">
      <alignment horizontal="right" indent="1"/>
    </xf>
    <xf numFmtId="7" fontId="6" fillId="0" borderId="0" xfId="2" applyNumberFormat="1" applyFont="1" applyBorder="1" applyAlignment="1">
      <alignment horizontal="right"/>
    </xf>
    <xf numFmtId="5" fontId="6" fillId="0" borderId="0" xfId="2" applyNumberFormat="1" applyFont="1" applyBorder="1" applyAlignment="1">
      <alignment horizontal="right"/>
    </xf>
    <xf numFmtId="5" fontId="6" fillId="0" borderId="0" xfId="0" applyNumberFormat="1" applyFont="1" applyAlignment="1">
      <alignment horizontal="right"/>
    </xf>
    <xf numFmtId="7" fontId="6" fillId="0" borderId="0" xfId="0" applyNumberFormat="1" applyFont="1" applyAlignment="1">
      <alignment horizontal="right"/>
    </xf>
    <xf numFmtId="10" fontId="6" fillId="0" borderId="15" xfId="3" applyNumberFormat="1" applyFont="1" applyBorder="1" applyAlignment="1">
      <alignment horizontal="right" indent="1"/>
    </xf>
    <xf numFmtId="164" fontId="2" fillId="0" borderId="0" xfId="1" applyNumberFormat="1" applyFont="1" applyBorder="1"/>
    <xf numFmtId="43" fontId="9" fillId="0" borderId="0" xfId="1" applyFont="1" applyBorder="1"/>
    <xf numFmtId="43" fontId="9" fillId="2" borderId="0" xfId="1" applyFont="1" applyFill="1" applyBorder="1"/>
    <xf numFmtId="43" fontId="2" fillId="0" borderId="15" xfId="1" applyFont="1" applyBorder="1"/>
    <xf numFmtId="0" fontId="2" fillId="0" borderId="0" xfId="0" applyFont="1" applyAlignment="1">
      <alignment horizontal="left" indent="1"/>
    </xf>
    <xf numFmtId="0" fontId="2" fillId="0" borderId="0" xfId="0" applyFont="1" applyAlignment="1">
      <alignment horizontal="left"/>
    </xf>
    <xf numFmtId="14" fontId="5" fillId="0" borderId="0" xfId="0" applyNumberFormat="1" applyFont="1"/>
    <xf numFmtId="171" fontId="2" fillId="0" borderId="0" xfId="3" applyNumberFormat="1" applyFont="1" applyBorder="1"/>
    <xf numFmtId="174" fontId="2" fillId="0" borderId="0" xfId="1" applyNumberFormat="1" applyFont="1" applyBorder="1"/>
    <xf numFmtId="44" fontId="2" fillId="0" borderId="0" xfId="2" applyFont="1"/>
    <xf numFmtId="0" fontId="11" fillId="0" borderId="0" xfId="0" applyFont="1" applyAlignment="1">
      <alignment horizontal="left" vertical="center"/>
    </xf>
    <xf numFmtId="10" fontId="4" fillId="6" borderId="18" xfId="3" applyNumberFormat="1" applyFont="1" applyFill="1" applyBorder="1" applyAlignment="1">
      <alignment horizontal="centerContinuous"/>
    </xf>
    <xf numFmtId="10" fontId="4" fillId="6" borderId="1" xfId="3" applyNumberFormat="1" applyFont="1" applyFill="1" applyBorder="1" applyAlignment="1">
      <alignment horizontal="centerContinuous"/>
    </xf>
    <xf numFmtId="10" fontId="4" fillId="6" borderId="19" xfId="3" applyNumberFormat="1" applyFont="1" applyFill="1" applyBorder="1" applyAlignment="1">
      <alignment horizontal="centerContinuous"/>
    </xf>
    <xf numFmtId="10" fontId="5" fillId="0" borderId="18" xfId="3" applyNumberFormat="1" applyFont="1" applyFill="1" applyBorder="1" applyAlignment="1">
      <alignment horizontal="center"/>
    </xf>
    <xf numFmtId="10" fontId="5" fillId="0" borderId="1" xfId="3" applyNumberFormat="1" applyFont="1" applyFill="1" applyBorder="1" applyAlignment="1">
      <alignment horizontal="center"/>
    </xf>
    <xf numFmtId="10" fontId="5" fillId="0" borderId="19" xfId="3" applyNumberFormat="1" applyFont="1" applyBorder="1" applyAlignment="1">
      <alignment horizontal="center"/>
    </xf>
    <xf numFmtId="0" fontId="4" fillId="6" borderId="20" xfId="0" applyFont="1" applyFill="1" applyBorder="1" applyAlignment="1">
      <alignment horizontal="left" vertical="center"/>
    </xf>
    <xf numFmtId="0" fontId="4" fillId="6" borderId="21" xfId="0" applyFont="1" applyFill="1" applyBorder="1" applyAlignment="1">
      <alignment horizontal="left" vertical="center"/>
    </xf>
    <xf numFmtId="0" fontId="4" fillId="6" borderId="22" xfId="0" applyFont="1" applyFill="1" applyBorder="1" applyAlignment="1">
      <alignment horizontal="left" vertical="center"/>
    </xf>
    <xf numFmtId="167" fontId="2" fillId="0" borderId="20" xfId="1" applyNumberFormat="1" applyFont="1" applyFill="1" applyBorder="1"/>
    <xf numFmtId="167" fontId="2" fillId="0" borderId="21" xfId="1" applyNumberFormat="1" applyFont="1" applyFill="1" applyBorder="1"/>
    <xf numFmtId="167" fontId="2" fillId="0" borderId="22" xfId="1" applyNumberFormat="1" applyFont="1" applyFill="1" applyBorder="1"/>
    <xf numFmtId="167" fontId="2" fillId="0" borderId="0" xfId="3" applyNumberFormat="1" applyFont="1"/>
    <xf numFmtId="8" fontId="2" fillId="0" borderId="0" xfId="0" applyNumberFormat="1" applyFont="1"/>
    <xf numFmtId="7" fontId="2" fillId="0" borderId="0" xfId="0" applyNumberFormat="1" applyFont="1"/>
    <xf numFmtId="10" fontId="2" fillId="0" borderId="0" xfId="0" applyNumberFormat="1" applyFont="1"/>
    <xf numFmtId="0" fontId="7" fillId="6" borderId="0" xfId="0" applyFont="1" applyFill="1" applyAlignment="1">
      <alignment horizontal="centerContinuous"/>
    </xf>
    <xf numFmtId="169" fontId="3" fillId="0" borderId="2" xfId="0" applyNumberFormat="1" applyFont="1" applyBorder="1"/>
    <xf numFmtId="0" fontId="2" fillId="7" borderId="0" xfId="0" applyFont="1" applyFill="1"/>
    <xf numFmtId="166" fontId="3" fillId="0" borderId="1" xfId="1" applyNumberFormat="1" applyFont="1" applyFill="1" applyBorder="1"/>
    <xf numFmtId="0" fontId="11" fillId="2" borderId="1" xfId="0" applyFont="1" applyFill="1" applyBorder="1"/>
    <xf numFmtId="168" fontId="11" fillId="2" borderId="1" xfId="2" applyNumberFormat="1" applyFont="1" applyFill="1" applyBorder="1"/>
    <xf numFmtId="0" fontId="11" fillId="2" borderId="23" xfId="0" applyFont="1" applyFill="1" applyBorder="1"/>
    <xf numFmtId="168" fontId="4" fillId="6" borderId="0" xfId="2" applyNumberFormat="1" applyFont="1" applyFill="1" applyBorder="1"/>
    <xf numFmtId="44" fontId="2" fillId="0" borderId="0" xfId="0" applyNumberFormat="1" applyFont="1"/>
    <xf numFmtId="167" fontId="2" fillId="0" borderId="0" xfId="0" quotePrefix="1" applyNumberFormat="1" applyFont="1" applyAlignment="1">
      <alignment horizontal="right"/>
    </xf>
    <xf numFmtId="166" fontId="2" fillId="0" borderId="3" xfId="1" applyNumberFormat="1" applyFont="1" applyBorder="1"/>
    <xf numFmtId="0" fontId="13" fillId="6" borderId="7" xfId="0" applyFont="1" applyFill="1" applyBorder="1"/>
    <xf numFmtId="175" fontId="2" fillId="0" borderId="0" xfId="0" applyNumberFormat="1" applyFont="1"/>
    <xf numFmtId="0" fontId="3" fillId="0" borderId="15" xfId="0" applyFont="1" applyBorder="1" applyAlignment="1">
      <alignment horizontal="center" wrapText="1"/>
    </xf>
    <xf numFmtId="0" fontId="2" fillId="0" borderId="14" xfId="0" applyFont="1" applyBorder="1" applyAlignment="1">
      <alignment horizontal="left" indent="1"/>
    </xf>
    <xf numFmtId="174" fontId="2" fillId="0" borderId="15" xfId="3" applyNumberFormat="1" applyFont="1" applyBorder="1" applyAlignment="1">
      <alignment horizontal="right" indent="1"/>
    </xf>
    <xf numFmtId="171" fontId="2" fillId="0" borderId="0" xfId="3" applyNumberFormat="1" applyFont="1" applyBorder="1" applyAlignment="1">
      <alignment horizontal="right" indent="1"/>
    </xf>
    <xf numFmtId="175" fontId="2" fillId="0" borderId="0" xfId="0" applyNumberFormat="1" applyFont="1" applyAlignment="1">
      <alignment horizontal="right" indent="1"/>
    </xf>
    <xf numFmtId="0" fontId="3" fillId="0" borderId="14" xfId="0" applyFont="1" applyBorder="1"/>
    <xf numFmtId="0" fontId="3" fillId="0" borderId="12" xfId="0" applyFont="1" applyBorder="1" applyAlignment="1">
      <alignment horizontal="left" indent="1"/>
    </xf>
    <xf numFmtId="0" fontId="3" fillId="0" borderId="14" xfId="0" applyFont="1" applyBorder="1" applyAlignment="1">
      <alignment horizontal="left"/>
    </xf>
    <xf numFmtId="171" fontId="2" fillId="0" borderId="15" xfId="3" applyNumberFormat="1" applyFont="1" applyBorder="1" applyAlignment="1">
      <alignment horizontal="right" indent="1"/>
    </xf>
    <xf numFmtId="43" fontId="2" fillId="0" borderId="0" xfId="0" applyNumberFormat="1" applyFont="1"/>
    <xf numFmtId="0" fontId="2" fillId="0" borderId="24" xfId="0" applyFont="1" applyBorder="1"/>
    <xf numFmtId="168" fontId="2" fillId="0" borderId="24" xfId="2" applyNumberFormat="1" applyFont="1" applyFill="1" applyBorder="1"/>
    <xf numFmtId="166" fontId="2" fillId="0" borderId="24" xfId="0" applyNumberFormat="1" applyFont="1" applyBorder="1"/>
    <xf numFmtId="0" fontId="2" fillId="0" borderId="25" xfId="0" applyFont="1" applyBorder="1"/>
    <xf numFmtId="168" fontId="2" fillId="0" borderId="24" xfId="2" applyNumberFormat="1" applyFont="1" applyBorder="1"/>
    <xf numFmtId="0" fontId="2" fillId="0" borderId="26" xfId="0" applyFont="1" applyBorder="1"/>
    <xf numFmtId="166" fontId="2" fillId="0" borderId="26" xfId="1" applyNumberFormat="1" applyFont="1" applyFill="1" applyBorder="1"/>
    <xf numFmtId="0" fontId="2" fillId="0" borderId="27" xfId="0" applyFont="1" applyBorder="1"/>
    <xf numFmtId="166" fontId="2" fillId="0" borderId="26" xfId="1" applyNumberFormat="1" applyFont="1" applyBorder="1"/>
    <xf numFmtId="0" fontId="2" fillId="0" borderId="28" xfId="0" applyFont="1" applyBorder="1"/>
    <xf numFmtId="166" fontId="2" fillId="0" borderId="28" xfId="1" applyNumberFormat="1" applyFont="1" applyBorder="1"/>
    <xf numFmtId="166" fontId="2" fillId="0" borderId="28" xfId="1" applyNumberFormat="1" applyFont="1" applyFill="1" applyBorder="1"/>
    <xf numFmtId="0" fontId="2" fillId="0" borderId="29" xfId="0" applyFont="1" applyBorder="1"/>
    <xf numFmtId="166" fontId="2" fillId="0" borderId="24" xfId="1" applyNumberFormat="1" applyFont="1" applyBorder="1"/>
    <xf numFmtId="166" fontId="2" fillId="0" borderId="24" xfId="1" applyNumberFormat="1" applyFont="1" applyFill="1" applyBorder="1"/>
    <xf numFmtId="166" fontId="2" fillId="0" borderId="0" xfId="0" applyNumberFormat="1" applyFont="1"/>
    <xf numFmtId="176" fontId="2" fillId="0" borderId="0" xfId="0" applyNumberFormat="1" applyFont="1"/>
    <xf numFmtId="177" fontId="2" fillId="0" borderId="0" xfId="0" applyNumberFormat="1" applyFont="1"/>
    <xf numFmtId="14" fontId="9" fillId="0" borderId="0" xfId="0" applyNumberFormat="1" applyFont="1"/>
    <xf numFmtId="10" fontId="9" fillId="0" borderId="0" xfId="0" applyNumberFormat="1" applyFont="1"/>
    <xf numFmtId="5" fontId="9" fillId="0" borderId="1" xfId="0" applyNumberFormat="1" applyFont="1" applyBorder="1" applyAlignment="1">
      <alignment horizontal="center"/>
    </xf>
    <xf numFmtId="169" fontId="9" fillId="0" borderId="18" xfId="0" applyNumberFormat="1" applyFont="1" applyBorder="1" applyAlignment="1">
      <alignment horizontal="center"/>
    </xf>
    <xf numFmtId="0" fontId="13" fillId="3" borderId="0" xfId="0" applyFont="1" applyFill="1"/>
    <xf numFmtId="10" fontId="2" fillId="0" borderId="0" xfId="3" applyNumberFormat="1" applyFont="1" applyFill="1"/>
    <xf numFmtId="0" fontId="4" fillId="6" borderId="18" xfId="0" applyFont="1" applyFill="1" applyBorder="1" applyAlignment="1">
      <alignment horizontal="center" wrapText="1"/>
    </xf>
    <xf numFmtId="0" fontId="4" fillId="6" borderId="1" xfId="0" applyFont="1" applyFill="1" applyBorder="1" applyAlignment="1">
      <alignment horizontal="center" wrapText="1"/>
    </xf>
    <xf numFmtId="169" fontId="4" fillId="6" borderId="1" xfId="0" applyNumberFormat="1" applyFont="1" applyFill="1" applyBorder="1"/>
    <xf numFmtId="0" fontId="3" fillId="0" borderId="0" xfId="0" applyFont="1" applyAlignment="1">
      <alignment horizontal="center" wrapText="1"/>
    </xf>
    <xf numFmtId="0" fontId="2" fillId="0" borderId="30" xfId="0" applyFont="1" applyBorder="1"/>
    <xf numFmtId="0" fontId="2" fillId="0" borderId="31" xfId="0" applyFont="1" applyBorder="1"/>
    <xf numFmtId="0" fontId="2" fillId="0" borderId="32" xfId="0" applyFont="1" applyBorder="1"/>
    <xf numFmtId="0" fontId="2" fillId="0" borderId="33" xfId="0" applyFont="1" applyBorder="1"/>
    <xf numFmtId="0" fontId="2" fillId="0" borderId="34" xfId="0" applyFont="1" applyBorder="1"/>
    <xf numFmtId="0" fontId="2" fillId="0" borderId="35" xfId="0" applyFont="1" applyBorder="1"/>
    <xf numFmtId="0" fontId="2" fillId="0" borderId="36" xfId="0" applyFont="1" applyBorder="1"/>
    <xf numFmtId="0" fontId="3" fillId="0" borderId="37" xfId="0" applyFont="1" applyBorder="1"/>
    <xf numFmtId="0" fontId="3" fillId="0" borderId="33" xfId="0" applyFont="1" applyBorder="1"/>
    <xf numFmtId="0" fontId="2" fillId="0" borderId="37" xfId="0" applyFont="1" applyBorder="1"/>
    <xf numFmtId="0" fontId="2" fillId="2" borderId="37" xfId="0" applyFont="1" applyFill="1" applyBorder="1"/>
    <xf numFmtId="0" fontId="11" fillId="2" borderId="37" xfId="0" applyFont="1" applyFill="1" applyBorder="1"/>
    <xf numFmtId="168" fontId="4" fillId="0" borderId="33" xfId="2" applyNumberFormat="1" applyFont="1" applyFill="1" applyBorder="1"/>
    <xf numFmtId="0" fontId="4" fillId="6" borderId="32" xfId="0" applyFont="1" applyFill="1" applyBorder="1"/>
    <xf numFmtId="0" fontId="2" fillId="0" borderId="38" xfId="0" applyFont="1" applyBorder="1"/>
    <xf numFmtId="0" fontId="2" fillId="0" borderId="39" xfId="0" applyFont="1" applyBorder="1"/>
    <xf numFmtId="0" fontId="2" fillId="0" borderId="40" xfId="0" applyFont="1" applyBorder="1"/>
    <xf numFmtId="0" fontId="4" fillId="6" borderId="41" xfId="0" applyFont="1" applyFill="1" applyBorder="1"/>
    <xf numFmtId="168" fontId="3" fillId="2" borderId="1" xfId="2" applyNumberFormat="1" applyFont="1" applyFill="1" applyBorder="1"/>
    <xf numFmtId="166" fontId="3" fillId="2" borderId="1" xfId="1" applyNumberFormat="1" applyFont="1" applyFill="1" applyBorder="1"/>
    <xf numFmtId="0" fontId="4" fillId="6" borderId="23" xfId="0" applyFont="1" applyFill="1" applyBorder="1"/>
    <xf numFmtId="171" fontId="3" fillId="0" borderId="13" xfId="3" applyNumberFormat="1" applyFont="1" applyBorder="1" applyAlignment="1">
      <alignment horizontal="right" indent="1"/>
    </xf>
    <xf numFmtId="175" fontId="3" fillId="0" borderId="2" xfId="0" applyNumberFormat="1" applyFont="1" applyBorder="1" applyAlignment="1">
      <alignment horizontal="right" indent="1"/>
    </xf>
    <xf numFmtId="2" fontId="2" fillId="0" borderId="0" xfId="0" applyNumberFormat="1" applyFont="1"/>
    <xf numFmtId="0" fontId="2" fillId="0" borderId="0" xfId="0" applyFont="1" applyAlignment="1">
      <alignment wrapText="1"/>
    </xf>
    <xf numFmtId="0" fontId="6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0" fontId="16" fillId="0" borderId="0" xfId="0" applyFont="1"/>
    <xf numFmtId="169" fontId="3" fillId="2" borderId="1" xfId="2" applyNumberFormat="1" applyFont="1" applyFill="1" applyBorder="1"/>
    <xf numFmtId="167" fontId="2" fillId="8" borderId="0" xfId="1" applyNumberFormat="1" applyFont="1" applyFill="1" applyBorder="1"/>
    <xf numFmtId="171" fontId="5" fillId="0" borderId="21" xfId="0" applyNumberFormat="1" applyFont="1" applyBorder="1" applyAlignment="1">
      <alignment horizontal="center"/>
    </xf>
    <xf numFmtId="0" fontId="4" fillId="6" borderId="19" xfId="0" applyFont="1" applyFill="1" applyBorder="1" applyAlignment="1">
      <alignment horizontal="center" wrapText="1"/>
    </xf>
    <xf numFmtId="10" fontId="9" fillId="0" borderId="0" xfId="0" applyNumberFormat="1" applyFont="1" applyAlignment="1">
      <alignment horizontal="center"/>
    </xf>
    <xf numFmtId="0" fontId="4" fillId="6" borderId="20" xfId="0" applyFont="1" applyFill="1" applyBorder="1" applyAlignment="1">
      <alignment horizontal="center" vertical="center" wrapText="1"/>
    </xf>
    <xf numFmtId="0" fontId="4" fillId="6" borderId="21" xfId="0" applyFont="1" applyFill="1" applyBorder="1" applyAlignment="1">
      <alignment horizontal="center" vertical="center" wrapText="1"/>
    </xf>
    <xf numFmtId="0" fontId="4" fillId="6" borderId="22" xfId="0" applyFont="1" applyFill="1" applyBorder="1" applyAlignment="1">
      <alignment horizontal="center" vertical="center" wrapText="1"/>
    </xf>
    <xf numFmtId="0" fontId="4" fillId="6" borderId="18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9" xfId="0" applyFont="1" applyFill="1" applyBorder="1" applyAlignment="1">
      <alignment horizontal="center"/>
    </xf>
    <xf numFmtId="0" fontId="4" fillId="6" borderId="15" xfId="0" applyFont="1" applyFill="1" applyBorder="1" applyAlignment="1">
      <alignment horizontal="center" vertical="center" wrapText="1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colors>
    <mruColors>
      <color rgb="FF1F497D"/>
      <color rgb="FFBAAC88"/>
      <color rgb="FFFFFF99"/>
      <color rgb="FFFFFFCC"/>
      <color rgb="FF008000"/>
      <color rgb="FFD8E4BC"/>
      <color rgb="FFDDD9C4"/>
      <color rgb="FFC3B6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114373988275621"/>
          <c:y val="5.086705202312139E-2"/>
          <c:w val="0.77772334013803834"/>
          <c:h val="0.74599062400436944"/>
        </c:manualLayout>
      </c:layout>
      <c:lineChart>
        <c:grouping val="standard"/>
        <c:varyColors val="0"/>
        <c:ser>
          <c:idx val="0"/>
          <c:order val="0"/>
          <c:tx>
            <c:strRef>
              <c:f>'Pro Forma'!$C$15</c:f>
              <c:strCache>
                <c:ptCount val="1"/>
                <c:pt idx="0">
                  <c:v>RevPar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numRef>
              <c:f>'Pro Forma'!$F$7:$T$7</c:f>
              <c:numCache>
                <c:formatCode>"FY"yy;@</c:formatCode>
                <c:ptCount val="10"/>
                <c:pt idx="0">
                  <c:v>43465</c:v>
                </c:pt>
                <c:pt idx="1">
                  <c:v>43830</c:v>
                </c:pt>
                <c:pt idx="2">
                  <c:v>44196</c:v>
                </c:pt>
                <c:pt idx="3">
                  <c:v>44561</c:v>
                </c:pt>
                <c:pt idx="4">
                  <c:v>44926</c:v>
                </c:pt>
                <c:pt idx="5">
                  <c:v>45291</c:v>
                </c:pt>
                <c:pt idx="6">
                  <c:v>45657</c:v>
                </c:pt>
                <c:pt idx="7">
                  <c:v>46022</c:v>
                </c:pt>
                <c:pt idx="8">
                  <c:v>46387</c:v>
                </c:pt>
                <c:pt idx="9">
                  <c:v>46752</c:v>
                </c:pt>
              </c:numCache>
            </c:numRef>
          </c:cat>
          <c:val>
            <c:numRef>
              <c:f>'Pro Forma'!$F$15:$T$15</c:f>
              <c:numCache>
                <c:formatCode>_("$"* #,##0.00_);_("$"* \(#,##0.00\);_("$"* "-"??_);_(@_)</c:formatCode>
                <c:ptCount val="10"/>
                <c:pt idx="0">
                  <c:v>0</c:v>
                </c:pt>
                <c:pt idx="1">
                  <c:v>158.1</c:v>
                </c:pt>
                <c:pt idx="2">
                  <c:v>161.262</c:v>
                </c:pt>
                <c:pt idx="3">
                  <c:v>164.48724000000001</c:v>
                </c:pt>
                <c:pt idx="4">
                  <c:v>167.77698480000001</c:v>
                </c:pt>
                <c:pt idx="5">
                  <c:v>171.132524496</c:v>
                </c:pt>
                <c:pt idx="6">
                  <c:v>174.55517498591999</c:v>
                </c:pt>
                <c:pt idx="7">
                  <c:v>178.0462784856384</c:v>
                </c:pt>
                <c:pt idx="8">
                  <c:v>181.60720405535116</c:v>
                </c:pt>
                <c:pt idx="9">
                  <c:v>185.23934813645818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F01-4528-9EE7-61152C21B5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184088"/>
        <c:axId val="422189184"/>
      </c:lineChart>
      <c:lineChart>
        <c:grouping val="standard"/>
        <c:varyColors val="0"/>
        <c:ser>
          <c:idx val="1"/>
          <c:order val="1"/>
          <c:tx>
            <c:strRef>
              <c:f>'Pro Forma'!$C$12</c:f>
              <c:strCache>
                <c:ptCount val="1"/>
                <c:pt idx="0">
                  <c:v>Property Occupancy</c:v>
                </c:pt>
              </c:strCache>
            </c:strRef>
          </c:tx>
          <c:spPr>
            <a:ln w="28575" cap="rnd">
              <a:solidFill>
                <a:sysClr val="windowText" lastClr="000000"/>
              </a:solidFill>
              <a:round/>
            </a:ln>
            <a:effectLst/>
          </c:spPr>
          <c:marker>
            <c:symbol val="none"/>
          </c:marker>
          <c:val>
            <c:numRef>
              <c:f>'Pro Forma'!$F$12:$T$12</c:f>
              <c:numCache>
                <c:formatCode>0.00%</c:formatCode>
                <c:ptCount val="10"/>
                <c:pt idx="0">
                  <c:v>0</c:v>
                </c:pt>
                <c:pt idx="1">
                  <c:v>0.77500000000000002</c:v>
                </c:pt>
                <c:pt idx="2">
                  <c:v>0.77500000000000002</c:v>
                </c:pt>
                <c:pt idx="3">
                  <c:v>0.77500000000000002</c:v>
                </c:pt>
                <c:pt idx="4">
                  <c:v>0.77500000000000002</c:v>
                </c:pt>
                <c:pt idx="5">
                  <c:v>0.77500000000000002</c:v>
                </c:pt>
                <c:pt idx="6">
                  <c:v>0.77500000000000002</c:v>
                </c:pt>
                <c:pt idx="7">
                  <c:v>0.77500000000000002</c:v>
                </c:pt>
                <c:pt idx="8">
                  <c:v>0.77500000000000002</c:v>
                </c:pt>
                <c:pt idx="9">
                  <c:v>0.77500000000000002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ACE-43A6-8F5E-FB74B1211B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1111144"/>
        <c:axId val="421108792"/>
      </c:lineChart>
      <c:dateAx>
        <c:axId val="422184088"/>
        <c:scaling>
          <c:orientation val="minMax"/>
        </c:scaling>
        <c:delete val="0"/>
        <c:axPos val="b"/>
        <c:numFmt formatCode="&quot;FY&quot;yy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22189184"/>
        <c:crosses val="autoZero"/>
        <c:auto val="1"/>
        <c:lblOffset val="100"/>
        <c:baseTimeUnit val="years"/>
      </c:dateAx>
      <c:valAx>
        <c:axId val="422189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_);_(&quot;$&quot;* \(#,##0.0\);_(&quot;$&quot;* &quot;-&quot;?_);_(@_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22184088"/>
        <c:crosses val="autoZero"/>
        <c:crossBetween val="between"/>
      </c:valAx>
      <c:valAx>
        <c:axId val="421108792"/>
        <c:scaling>
          <c:orientation val="minMax"/>
        </c:scaling>
        <c:delete val="0"/>
        <c:axPos val="r"/>
        <c:numFmt formatCode="0.0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21111144"/>
        <c:crosses val="max"/>
        <c:crossBetween val="between"/>
      </c:valAx>
      <c:catAx>
        <c:axId val="421111144"/>
        <c:scaling>
          <c:orientation val="minMax"/>
        </c:scaling>
        <c:delete val="1"/>
        <c:axPos val="b"/>
        <c:majorTickMark val="out"/>
        <c:minorTickMark val="none"/>
        <c:tickLblPos val="nextTo"/>
        <c:crossAx val="42110879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solidFill>
            <a:sysClr val="windowText" lastClr="00000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/>
              <a:t>Operating Expense Detail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217433569596071"/>
          <c:y val="0.13863407953156964"/>
          <c:w val="0.77617778454021746"/>
          <c:h val="0.5915883681276977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'Pro Forma'!$C$37</c:f>
              <c:strCache>
                <c:ptCount val="1"/>
                <c:pt idx="0">
                  <c:v>Administrative &amp; General</c:v>
                </c:pt>
              </c:strCache>
            </c:strRef>
          </c:tx>
          <c:spPr>
            <a:solidFill>
              <a:srgbClr val="FFFF99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cat>
            <c:numRef>
              <c:f>'Pro Forma'!$F$7:$T$7</c:f>
              <c:numCache>
                <c:formatCode>"FY"yy;@</c:formatCode>
                <c:ptCount val="10"/>
                <c:pt idx="0">
                  <c:v>43465</c:v>
                </c:pt>
                <c:pt idx="1">
                  <c:v>43830</c:v>
                </c:pt>
                <c:pt idx="2">
                  <c:v>44196</c:v>
                </c:pt>
                <c:pt idx="3">
                  <c:v>44561</c:v>
                </c:pt>
                <c:pt idx="4">
                  <c:v>44926</c:v>
                </c:pt>
                <c:pt idx="5">
                  <c:v>45291</c:v>
                </c:pt>
                <c:pt idx="6">
                  <c:v>45657</c:v>
                </c:pt>
                <c:pt idx="7">
                  <c:v>46022</c:v>
                </c:pt>
                <c:pt idx="8">
                  <c:v>46387</c:v>
                </c:pt>
                <c:pt idx="9">
                  <c:v>46752</c:v>
                </c:pt>
              </c:numCache>
            </c:numRef>
          </c:cat>
          <c:val>
            <c:numRef>
              <c:f>'Pro Forma'!$F$37:$T$37</c:f>
              <c:numCache>
                <c:formatCode>_(* #,##0.0_);_(* \(#,##0.0\);_(* "-"??_);_(@_)</c:formatCode>
                <c:ptCount val="10"/>
                <c:pt idx="0">
                  <c:v>0</c:v>
                </c:pt>
                <c:pt idx="1">
                  <c:v>-0.61933501125000001</c:v>
                </c:pt>
                <c:pt idx="2">
                  <c:v>-1.26690491178</c:v>
                </c:pt>
                <c:pt idx="3">
                  <c:v>-1.2887122914090001</c:v>
                </c:pt>
                <c:pt idx="4">
                  <c:v>-1.3144865372371799</c:v>
                </c:pt>
                <c:pt idx="5">
                  <c:v>-1.3407762679819237</c:v>
                </c:pt>
                <c:pt idx="6">
                  <c:v>-1.3713386201726345</c:v>
                </c:pt>
                <c:pt idx="7">
                  <c:v>-1.3949436292083932</c:v>
                </c:pt>
                <c:pt idx="8">
                  <c:v>-1.4228425017925612</c:v>
                </c:pt>
                <c:pt idx="9">
                  <c:v>-1.4512993518284123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01-4528-9EE7-61152C21B51D}"/>
            </c:ext>
          </c:extLst>
        </c:ser>
        <c:ser>
          <c:idx val="1"/>
          <c:order val="1"/>
          <c:tx>
            <c:strRef>
              <c:f>'Pro Forma'!$C$38</c:f>
              <c:strCache>
                <c:ptCount val="1"/>
                <c:pt idx="0">
                  <c:v>Sales &amp; Marketing</c:v>
                </c:pt>
              </c:strCache>
            </c:strRef>
          </c:tx>
          <c:spPr>
            <a:solidFill>
              <a:schemeClr val="accent4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val>
            <c:numRef>
              <c:f>'Pro Forma'!$F$38:$T$38</c:f>
              <c:numCache>
                <c:formatCode>_(* #,##0.0_);_(* \(#,##0.0\);_(* "-"??_);_(@_)</c:formatCode>
                <c:ptCount val="10"/>
                <c:pt idx="0">
                  <c:v>0</c:v>
                </c:pt>
                <c:pt idx="1">
                  <c:v>-0.57259274625000001</c:v>
                </c:pt>
                <c:pt idx="2">
                  <c:v>-1.1712894467400001</c:v>
                </c:pt>
                <c:pt idx="3">
                  <c:v>-1.1914509863970002</c:v>
                </c:pt>
                <c:pt idx="4">
                  <c:v>-1.21528000612494</c:v>
                </c:pt>
                <c:pt idx="5">
                  <c:v>-1.2395856062474389</c:v>
                </c:pt>
                <c:pt idx="6">
                  <c:v>-1.267841365819983</c:v>
                </c:pt>
                <c:pt idx="7">
                  <c:v>-1.2896648647398352</c:v>
                </c:pt>
                <c:pt idx="8">
                  <c:v>-1.3154581620346322</c:v>
                </c:pt>
                <c:pt idx="9">
                  <c:v>-1.3417673252753248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4C-44C8-8BE2-EBC7116F736A}"/>
            </c:ext>
          </c:extLst>
        </c:ser>
        <c:ser>
          <c:idx val="2"/>
          <c:order val="2"/>
          <c:tx>
            <c:strRef>
              <c:f>'Pro Forma'!$C$39</c:f>
              <c:strCache>
                <c:ptCount val="1"/>
                <c:pt idx="0">
                  <c:v>Repairs &amp; Maintenance</c:v>
                </c:pt>
              </c:strCache>
            </c:strRef>
          </c:tx>
          <c:spPr>
            <a:solidFill>
              <a:srgbClr val="BAAC88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val>
            <c:numRef>
              <c:f>'Pro Forma'!$F$39:$T$39</c:f>
              <c:numCache>
                <c:formatCode>_(* #,##0.0_);_(* \(#,##0.0\);_(* "-"??_);_(@_)</c:formatCode>
                <c:ptCount val="10"/>
                <c:pt idx="0">
                  <c:v>0</c:v>
                </c:pt>
                <c:pt idx="1">
                  <c:v>-0.58427831249999995</c:v>
                </c:pt>
                <c:pt idx="2">
                  <c:v>-1.1951933130000001</c:v>
                </c:pt>
                <c:pt idx="3">
                  <c:v>-1.2157663126500002</c:v>
                </c:pt>
                <c:pt idx="4">
                  <c:v>-1.240081638903</c:v>
                </c:pt>
                <c:pt idx="5">
                  <c:v>-1.2648832716810601</c:v>
                </c:pt>
                <c:pt idx="6">
                  <c:v>-1.2937156794081461</c:v>
                </c:pt>
                <c:pt idx="7">
                  <c:v>-1.3159845558569747</c:v>
                </c:pt>
                <c:pt idx="8">
                  <c:v>-1.3423042469741144</c:v>
                </c:pt>
                <c:pt idx="9">
                  <c:v>-1.3691503319135967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34C-44C8-8BE2-EBC7116F736A}"/>
            </c:ext>
          </c:extLst>
        </c:ser>
        <c:ser>
          <c:idx val="3"/>
          <c:order val="3"/>
          <c:tx>
            <c:strRef>
              <c:f>'Pro Forma'!$C$40</c:f>
              <c:strCache>
                <c:ptCount val="1"/>
                <c:pt idx="0">
                  <c:v>Franchise Fee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val>
            <c:numRef>
              <c:f>'Pro Forma'!$F$40:$T$40</c:f>
              <c:numCache>
                <c:formatCode>_(* #,##0.0_);_(* \(#,##0.0\);_(* "-"??_);_(@_)</c:formatCode>
                <c:ptCount val="10"/>
                <c:pt idx="0">
                  <c:v>0</c:v>
                </c:pt>
                <c:pt idx="1">
                  <c:v>-0.64270614375000001</c:v>
                </c:pt>
                <c:pt idx="2">
                  <c:v>-1.3147126443000001</c:v>
                </c:pt>
                <c:pt idx="3">
                  <c:v>-1.3373429439150002</c:v>
                </c:pt>
                <c:pt idx="4">
                  <c:v>-1.3640898027932999</c:v>
                </c:pt>
                <c:pt idx="5">
                  <c:v>-1.3913715988491662</c:v>
                </c:pt>
                <c:pt idx="6">
                  <c:v>-1.4230872473489604</c:v>
                </c:pt>
                <c:pt idx="7">
                  <c:v>-1.4475830114426722</c:v>
                </c:pt>
                <c:pt idx="8">
                  <c:v>-1.4765346716715257</c:v>
                </c:pt>
                <c:pt idx="9">
                  <c:v>-1.5060653651049563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34C-44C8-8BE2-EBC7116F736A}"/>
            </c:ext>
          </c:extLst>
        </c:ser>
        <c:ser>
          <c:idx val="4"/>
          <c:order val="4"/>
          <c:tx>
            <c:strRef>
              <c:f>'Pro Forma'!$C$76</c:f>
              <c:strCache>
                <c:ptCount val="1"/>
                <c:pt idx="0">
                  <c:v>Other Expenses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val>
            <c:numRef>
              <c:f>'Pro Forma'!$F$76:$T$76</c:f>
              <c:numCache>
                <c:formatCode>_(* #,##0.0_);_(* \(#,##0.0\);_(* "-"??_);_(@_)</c:formatCode>
                <c:ptCount val="10"/>
                <c:pt idx="0">
                  <c:v>0</c:v>
                </c:pt>
                <c:pt idx="1">
                  <c:v>-1.1966761125000001</c:v>
                </c:pt>
                <c:pt idx="2">
                  <c:v>-2.4448718537999996</c:v>
                </c:pt>
                <c:pt idx="3">
                  <c:v>-2.49004365489</c:v>
                </c:pt>
                <c:pt idx="4">
                  <c:v>-2.5398445279878006</c:v>
                </c:pt>
                <c:pt idx="5">
                  <c:v>-2.5906414185475559</c:v>
                </c:pt>
                <c:pt idx="6">
                  <c:v>-2.6464079216319383</c:v>
                </c:pt>
                <c:pt idx="7">
                  <c:v>-2.6953033318568771</c:v>
                </c:pt>
                <c:pt idx="8">
                  <c:v>-2.7492093984940151</c:v>
                </c:pt>
                <c:pt idx="9">
                  <c:v>-2.8041935864638954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34C-44C8-8BE2-EBC7116F73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610304632"/>
        <c:axId val="610310512"/>
      </c:barChart>
      <c:dateAx>
        <c:axId val="610304632"/>
        <c:scaling>
          <c:orientation val="minMax"/>
        </c:scaling>
        <c:delete val="0"/>
        <c:axPos val="t"/>
        <c:numFmt formatCode="&quot;FY&quot;yy;@" sourceLinked="1"/>
        <c:majorTickMark val="none"/>
        <c:minorTickMark val="none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10310512"/>
        <c:crosses val="autoZero"/>
        <c:auto val="1"/>
        <c:lblOffset val="100"/>
        <c:baseTimeUnit val="years"/>
      </c:dateAx>
      <c:valAx>
        <c:axId val="61031051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_);_(&quot;$&quot;* \(#,##0.0\);_(&quot;$&quot;* &quot;-&quot;?_);_(@_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103046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solidFill>
            <a:sysClr val="windowText" lastClr="00000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113291997920549"/>
          <c:y val="5.0960627899138085E-2"/>
          <c:w val="0.77773416004158902"/>
          <c:h val="0.74552334412614019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'Pro Forma'!$C$23</c:f>
              <c:strCache>
                <c:ptCount val="1"/>
                <c:pt idx="0">
                  <c:v>Total Revenue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val>
            <c:numRef>
              <c:f>'Pro Forma'!$F$23:$T$23</c:f>
              <c:numCache>
                <c:formatCode>_(* #,##0.0_);_(* \(#,##0.0\);_(* "-"??_);_(@_)</c:formatCode>
                <c:ptCount val="10"/>
                <c:pt idx="0">
                  <c:v>0</c:v>
                </c:pt>
                <c:pt idx="1">
                  <c:v>11.685566250000001</c:v>
                </c:pt>
                <c:pt idx="2">
                  <c:v>23.903866260000001</c:v>
                </c:pt>
                <c:pt idx="3">
                  <c:v>24.315326253000002</c:v>
                </c:pt>
                <c:pt idx="4">
                  <c:v>24.80163277806</c:v>
                </c:pt>
                <c:pt idx="5">
                  <c:v>25.297665433621201</c:v>
                </c:pt>
                <c:pt idx="6">
                  <c:v>25.874313588162916</c:v>
                </c:pt>
                <c:pt idx="7">
                  <c:v>26.319691117139495</c:v>
                </c:pt>
                <c:pt idx="8">
                  <c:v>26.846084939482285</c:v>
                </c:pt>
                <c:pt idx="9">
                  <c:v>27.383006638271933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CA-4E19-A60D-D4437DA9DFAD}"/>
            </c:ext>
          </c:extLst>
        </c:ser>
        <c:ser>
          <c:idx val="0"/>
          <c:order val="1"/>
          <c:tx>
            <c:strRef>
              <c:f>'Pro Forma'!$C$56</c:f>
              <c:strCache>
                <c:ptCount val="1"/>
                <c:pt idx="0">
                  <c:v>Net Operating Income (NOI)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cat>
            <c:numRef>
              <c:f>'Pro Forma'!$F$7:$T$7</c:f>
              <c:numCache>
                <c:formatCode>"FY"yy;@</c:formatCode>
                <c:ptCount val="10"/>
                <c:pt idx="0">
                  <c:v>43465</c:v>
                </c:pt>
                <c:pt idx="1">
                  <c:v>43830</c:v>
                </c:pt>
                <c:pt idx="2">
                  <c:v>44196</c:v>
                </c:pt>
                <c:pt idx="3">
                  <c:v>44561</c:v>
                </c:pt>
                <c:pt idx="4">
                  <c:v>44926</c:v>
                </c:pt>
                <c:pt idx="5">
                  <c:v>45291</c:v>
                </c:pt>
                <c:pt idx="6">
                  <c:v>45657</c:v>
                </c:pt>
                <c:pt idx="7">
                  <c:v>46022</c:v>
                </c:pt>
                <c:pt idx="8">
                  <c:v>46387</c:v>
                </c:pt>
                <c:pt idx="9">
                  <c:v>46752</c:v>
                </c:pt>
              </c:numCache>
            </c:numRef>
          </c:cat>
          <c:val>
            <c:numRef>
              <c:f>'Pro Forma'!$F$56:$T$56</c:f>
              <c:numCache>
                <c:formatCode>_("$"* #,##0.0_);_("$"* \(#,##0.0\);_("$"* "-"??_);_(@_)</c:formatCode>
                <c:ptCount val="10"/>
                <c:pt idx="0">
                  <c:v>0</c:v>
                </c:pt>
                <c:pt idx="1">
                  <c:v>2.994330583125</c:v>
                </c:pt>
                <c:pt idx="2">
                  <c:v>6.1282055139300002</c:v>
                </c:pt>
                <c:pt idx="3">
                  <c:v>6.2306030773665011</c:v>
                </c:pt>
                <c:pt idx="4">
                  <c:v>6.3552151389138292</c:v>
                </c:pt>
                <c:pt idx="5">
                  <c:v>6.4823194416921064</c:v>
                </c:pt>
                <c:pt idx="6">
                  <c:v>6.6333667313671549</c:v>
                </c:pt>
                <c:pt idx="7">
                  <c:v>6.7442051471364648</c:v>
                </c:pt>
                <c:pt idx="8">
                  <c:v>6.8790892500791951</c:v>
                </c:pt>
                <c:pt idx="9">
                  <c:v>7.0166710350807788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01-4528-9EE7-61152C21B5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0303848"/>
        <c:axId val="610304240"/>
      </c:barChart>
      <c:lineChart>
        <c:grouping val="standard"/>
        <c:varyColors val="0"/>
        <c:ser>
          <c:idx val="1"/>
          <c:order val="2"/>
          <c:tx>
            <c:strRef>
              <c:f>'Pro Forma'!$C$77</c:f>
              <c:strCache>
                <c:ptCount val="1"/>
                <c:pt idx="0">
                  <c:v>NOI Margin %</c:v>
                </c:pt>
              </c:strCache>
            </c:strRef>
          </c:tx>
          <c:spPr>
            <a:ln w="28575" cap="rnd">
              <a:solidFill>
                <a:sysClr val="windowText" lastClr="000000"/>
              </a:solidFill>
              <a:round/>
            </a:ln>
            <a:effectLst/>
          </c:spPr>
          <c:marker>
            <c:symbol val="none"/>
          </c:marker>
          <c:val>
            <c:numRef>
              <c:f>'Pro Forma'!$F$77:$T$77</c:f>
              <c:numCache>
                <c:formatCode>0.00%</c:formatCode>
                <c:ptCount val="10"/>
                <c:pt idx="0">
                  <c:v>0</c:v>
                </c:pt>
                <c:pt idx="1">
                  <c:v>0.25624180455311696</c:v>
                </c:pt>
                <c:pt idx="2">
                  <c:v>0.25636880022980851</c:v>
                </c:pt>
                <c:pt idx="3">
                  <c:v>0.25624180455311701</c:v>
                </c:pt>
                <c:pt idx="4">
                  <c:v>0.25624180455311696</c:v>
                </c:pt>
                <c:pt idx="5">
                  <c:v>0.25624180455311696</c:v>
                </c:pt>
                <c:pt idx="6">
                  <c:v>0.25636880022980835</c:v>
                </c:pt>
                <c:pt idx="7">
                  <c:v>0.25624180455311685</c:v>
                </c:pt>
                <c:pt idx="8">
                  <c:v>0.2562418045531169</c:v>
                </c:pt>
                <c:pt idx="9">
                  <c:v>0.2562418045531169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ACA-4E19-A60D-D4437DA9DF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0303064"/>
        <c:axId val="610305808"/>
      </c:lineChart>
      <c:catAx>
        <c:axId val="610303848"/>
        <c:scaling>
          <c:orientation val="minMax"/>
        </c:scaling>
        <c:delete val="0"/>
        <c:axPos val="b"/>
        <c:numFmt formatCode="&quot;FY&quot;yy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10304240"/>
        <c:crosses val="autoZero"/>
        <c:auto val="1"/>
        <c:lblAlgn val="ctr"/>
        <c:lblOffset val="100"/>
        <c:noMultiLvlLbl val="1"/>
      </c:catAx>
      <c:valAx>
        <c:axId val="610304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_);_(&quot;$&quot;* \(#,##0.0\);_(&quot;$&quot;* &quot;-&quot;?_);_(@_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10303848"/>
        <c:crosses val="autoZero"/>
        <c:crossBetween val="between"/>
      </c:valAx>
      <c:valAx>
        <c:axId val="610305808"/>
        <c:scaling>
          <c:orientation val="minMax"/>
        </c:scaling>
        <c:delete val="0"/>
        <c:axPos val="r"/>
        <c:numFmt formatCode="0.0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10303064"/>
        <c:crosses val="max"/>
        <c:crossBetween val="between"/>
      </c:valAx>
      <c:catAx>
        <c:axId val="610303064"/>
        <c:scaling>
          <c:orientation val="minMax"/>
        </c:scaling>
        <c:delete val="1"/>
        <c:axPos val="b"/>
        <c:majorTickMark val="out"/>
        <c:minorTickMark val="none"/>
        <c:tickLblPos val="nextTo"/>
        <c:crossAx val="61030580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solidFill>
            <a:sysClr val="windowText" lastClr="00000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/>
              <a:t>NPV By Scenario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Model!$AC$636</c:f>
              <c:strCache>
                <c:ptCount val="1"/>
                <c:pt idx="0">
                  <c:v>NPV (Unlevered) at 8.00%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cat>
            <c:strRef>
              <c:f>Model!$AB$638:$AB$640</c:f>
              <c:strCache>
                <c:ptCount val="3"/>
                <c:pt idx="0">
                  <c:v>Low</c:v>
                </c:pt>
                <c:pt idx="1">
                  <c:v>Base</c:v>
                </c:pt>
                <c:pt idx="2">
                  <c:v>High</c:v>
                </c:pt>
              </c:strCache>
            </c:strRef>
          </c:cat>
          <c:val>
            <c:numRef>
              <c:f>Model!$AC$638:$AC$640</c:f>
              <c:numCache>
                <c:formatCode>"$"#,##0_);\("$"#,##0\)</c:formatCode>
                <c:ptCount val="3"/>
                <c:pt idx="0">
                  <c:v>-16628280.473513555</c:v>
                </c:pt>
                <c:pt idx="1">
                  <c:v>4958884.820828842</c:v>
                </c:pt>
                <c:pt idx="2">
                  <c:v>30693529.047508221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BF-49AE-B753-4D9F92291170}"/>
            </c:ext>
          </c:extLst>
        </c:ser>
        <c:ser>
          <c:idx val="1"/>
          <c:order val="1"/>
          <c:tx>
            <c:strRef>
              <c:f>Model!$AD$636</c:f>
              <c:strCache>
                <c:ptCount val="1"/>
                <c:pt idx="0">
                  <c:v>NPV (Levered) at 8.00%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cat>
            <c:strRef>
              <c:f>Model!$AB$638:$AB$640</c:f>
              <c:strCache>
                <c:ptCount val="3"/>
                <c:pt idx="0">
                  <c:v>Low</c:v>
                </c:pt>
                <c:pt idx="1">
                  <c:v>Base</c:v>
                </c:pt>
                <c:pt idx="2">
                  <c:v>High</c:v>
                </c:pt>
              </c:strCache>
            </c:strRef>
          </c:cat>
          <c:val>
            <c:numRef>
              <c:f>Model!$AD$638:$AD$640</c:f>
              <c:numCache>
                <c:formatCode>"$"#,##0_);\("$"#,##0\)</c:formatCode>
                <c:ptCount val="3"/>
                <c:pt idx="0">
                  <c:v>-8012194.2294467101</c:v>
                </c:pt>
                <c:pt idx="1">
                  <c:v>13275615.567383975</c:v>
                </c:pt>
                <c:pt idx="2">
                  <c:v>38687183.800883397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0BF-49AE-B753-4D9F922911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0308944"/>
        <c:axId val="610305024"/>
      </c:barChart>
      <c:catAx>
        <c:axId val="610308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10305024"/>
        <c:crosses val="autoZero"/>
        <c:auto val="1"/>
        <c:lblAlgn val="ctr"/>
        <c:lblOffset val="100"/>
        <c:noMultiLvlLbl val="1"/>
      </c:catAx>
      <c:valAx>
        <c:axId val="610305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_);_(&quot;$&quot;* \(#,##0.0\);_(&quot;$&quot;* &quot;-&quot;?_);_(@_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10308944"/>
        <c:crosses val="autoZero"/>
        <c:crossBetween val="between"/>
        <c:dispUnits>
          <c:builtInUnit val="million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</c:dispUnitsLbl>
        </c:dispUnits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solidFill>
            <a:sysClr val="windowText" lastClr="00000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/>
              <a:t>IRR By</a:t>
            </a:r>
            <a:r>
              <a:rPr lang="en-US" baseline="0"/>
              <a:t> Scenario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Model!$AE$636</c:f>
              <c:strCache>
                <c:ptCount val="1"/>
                <c:pt idx="0">
                  <c:v>IRR (Unlevered)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cat>
            <c:strRef>
              <c:f>Model!$AB$638:$AB$640</c:f>
              <c:strCache>
                <c:ptCount val="3"/>
                <c:pt idx="0">
                  <c:v>Low</c:v>
                </c:pt>
                <c:pt idx="1">
                  <c:v>Base</c:v>
                </c:pt>
                <c:pt idx="2">
                  <c:v>High</c:v>
                </c:pt>
              </c:strCache>
            </c:strRef>
          </c:cat>
          <c:val>
            <c:numRef>
              <c:f>Model!$AE$638:$AE$640</c:f>
              <c:numCache>
                <c:formatCode>0.0%</c:formatCode>
                <c:ptCount val="3"/>
                <c:pt idx="0">
                  <c:v>3.1386077379043753E-2</c:v>
                </c:pt>
                <c:pt idx="1">
                  <c:v>9.3123183357341377E-2</c:v>
                </c:pt>
                <c:pt idx="2">
                  <c:v>0.15397781943568112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B7-495F-A8F1-2D731928BA9C}"/>
            </c:ext>
          </c:extLst>
        </c:ser>
        <c:ser>
          <c:idx val="3"/>
          <c:order val="1"/>
          <c:tx>
            <c:strRef>
              <c:f>Model!$AF$636</c:f>
              <c:strCache>
                <c:ptCount val="1"/>
                <c:pt idx="0">
                  <c:v>IRR (Levered)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cat>
            <c:strRef>
              <c:f>Model!$AB$638:$AB$640</c:f>
              <c:strCache>
                <c:ptCount val="3"/>
                <c:pt idx="0">
                  <c:v>Low</c:v>
                </c:pt>
                <c:pt idx="1">
                  <c:v>Base</c:v>
                </c:pt>
                <c:pt idx="2">
                  <c:v>High</c:v>
                </c:pt>
              </c:strCache>
            </c:strRef>
          </c:cat>
          <c:val>
            <c:numRef>
              <c:f>Model!$AF$638:$AF$640</c:f>
              <c:numCache>
                <c:formatCode>0.0%</c:formatCode>
                <c:ptCount val="3"/>
                <c:pt idx="0">
                  <c:v>-1.3634318650658117E-2</c:v>
                </c:pt>
                <c:pt idx="1">
                  <c:v>0.18125518437763177</c:v>
                </c:pt>
                <c:pt idx="2">
                  <c:v>0.3176531452396576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5B7-495F-A8F1-2D731928BA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0307376"/>
        <c:axId val="610306200"/>
      </c:barChart>
      <c:catAx>
        <c:axId val="610307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10306200"/>
        <c:crosses val="autoZero"/>
        <c:auto val="1"/>
        <c:lblAlgn val="ctr"/>
        <c:lblOffset val="100"/>
        <c:noMultiLvlLbl val="1"/>
      </c:catAx>
      <c:valAx>
        <c:axId val="610306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103073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solidFill>
            <a:sysClr val="windowText" lastClr="00000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6350</xdr:rowOff>
    </xdr:from>
    <xdr:to>
      <xdr:col>28</xdr:col>
      <xdr:colOff>0</xdr:colOff>
      <xdr:row>18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19</xdr:row>
      <xdr:rowOff>4483</xdr:rowOff>
    </xdr:from>
    <xdr:to>
      <xdr:col>28</xdr:col>
      <xdr:colOff>0</xdr:colOff>
      <xdr:row>36</xdr:row>
      <xdr:rowOff>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37</xdr:row>
      <xdr:rowOff>0</xdr:rowOff>
    </xdr:from>
    <xdr:to>
      <xdr:col>28</xdr:col>
      <xdr:colOff>0</xdr:colOff>
      <xdr:row>53</xdr:row>
      <xdr:rowOff>150532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56</xdr:row>
      <xdr:rowOff>0</xdr:rowOff>
    </xdr:from>
    <xdr:to>
      <xdr:col>28</xdr:col>
      <xdr:colOff>0</xdr:colOff>
      <xdr:row>72</xdr:row>
      <xdr:rowOff>150532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74</xdr:row>
      <xdr:rowOff>0</xdr:rowOff>
    </xdr:from>
    <xdr:to>
      <xdr:col>28</xdr:col>
      <xdr:colOff>0</xdr:colOff>
      <xdr:row>90</xdr:row>
      <xdr:rowOff>150532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</sheetPr>
  <dimension ref="A1"/>
  <sheetViews>
    <sheetView workbookViewId="0"/>
  </sheetViews>
  <sheetFormatPr defaultRowHeight="12.75" x14ac:dyDescent="0.2"/>
  <cols>
    <col min="1" max="16384" width="9.140625" style="262"/>
  </cols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70C0"/>
    <pageSetUpPr fitToPage="1"/>
  </sheetPr>
  <dimension ref="A1:Y68"/>
  <sheetViews>
    <sheetView showGridLines="0" tabSelected="1" view="pageBreakPreview" zoomScale="85" zoomScaleNormal="100" zoomScaleSheetLayoutView="85" workbookViewId="0">
      <pane xSplit="5" ySplit="7" topLeftCell="F8" activePane="bottomRight" state="frozen"/>
      <selection pane="topRight" activeCell="F1" sqref="F1"/>
      <selection pane="bottomLeft" activeCell="A7" sqref="A7"/>
      <selection pane="bottomRight"/>
    </sheetView>
  </sheetViews>
  <sheetFormatPr defaultRowHeight="12.75" outlineLevelRow="1" outlineLevelCol="1" x14ac:dyDescent="0.2"/>
  <cols>
    <col min="1" max="2" width="3.28515625" style="1" customWidth="1"/>
    <col min="3" max="3" width="22.7109375" style="1" customWidth="1"/>
    <col min="4" max="4" width="15.28515625" style="1" customWidth="1"/>
    <col min="5" max="5" width="0.85546875" style="1" customWidth="1"/>
    <col min="6" max="15" width="10.28515625" style="1" customWidth="1"/>
    <col min="16" max="18" width="10.28515625" style="1" hidden="1" customWidth="1" outlineLevel="1"/>
    <col min="19" max="19" width="0.85546875" style="1" customWidth="1" collapsed="1"/>
    <col min="20" max="20" width="0.85546875" style="1" customWidth="1"/>
    <col min="21" max="21" width="10.28515625" style="1" customWidth="1"/>
    <col min="22" max="22" width="0.85546875" style="1" customWidth="1"/>
    <col min="23" max="16384" width="9.140625" style="1"/>
  </cols>
  <sheetData>
    <row r="1" spans="1:22" ht="23.25" x14ac:dyDescent="0.35">
      <c r="A1" s="11" t="str">
        <f>Model!$G$11</f>
        <v>ABC Hotel</v>
      </c>
    </row>
    <row r="2" spans="1:22" x14ac:dyDescent="0.2">
      <c r="B2" s="1" t="str">
        <f>"Summary ($'s stated in "&amp;IF(Model!G23=1000, "thousands", IF(Model!G23=1000000, "millions", IF(Model!G23=1000000000, "billions")))&amp;")"</f>
        <v>Summary ($'s stated in millions)</v>
      </c>
    </row>
    <row r="3" spans="1:22" ht="13.5" thickBot="1" x14ac:dyDescent="0.25"/>
    <row r="4" spans="1:22" ht="13.5" hidden="1" outlineLevel="1" thickBot="1" x14ac:dyDescent="0.25">
      <c r="F4" s="119" t="s">
        <v>136</v>
      </c>
      <c r="G4" s="119" t="s">
        <v>136</v>
      </c>
      <c r="H4" s="119" t="s">
        <v>136</v>
      </c>
      <c r="I4" s="119" t="s">
        <v>136</v>
      </c>
      <c r="J4" s="119" t="s">
        <v>136</v>
      </c>
      <c r="K4" s="119" t="s">
        <v>136</v>
      </c>
      <c r="L4" s="119" t="s">
        <v>136</v>
      </c>
      <c r="M4" s="119" t="s">
        <v>136</v>
      </c>
      <c r="N4" s="119" t="s">
        <v>136</v>
      </c>
      <c r="O4" s="119" t="s">
        <v>136</v>
      </c>
      <c r="P4" s="119" t="s">
        <v>136</v>
      </c>
      <c r="Q4" s="119" t="s">
        <v>136</v>
      </c>
      <c r="R4" s="119" t="s">
        <v>136</v>
      </c>
      <c r="U4" s="119" t="s">
        <v>136</v>
      </c>
    </row>
    <row r="5" spans="1:22" ht="5.0999999999999996" customHeight="1" collapsed="1" x14ac:dyDescent="0.2">
      <c r="T5" s="25"/>
      <c r="U5" s="26"/>
      <c r="V5" s="27"/>
    </row>
    <row r="6" spans="1:22" ht="15" x14ac:dyDescent="0.2">
      <c r="C6" s="225"/>
      <c r="D6" s="225"/>
      <c r="E6" s="225"/>
      <c r="F6" s="99" t="s">
        <v>25</v>
      </c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224"/>
      <c r="T6" s="271"/>
      <c r="U6" s="99" t="s">
        <v>25</v>
      </c>
      <c r="V6" s="29"/>
    </row>
    <row r="7" spans="1:22" x14ac:dyDescent="0.2">
      <c r="C7" s="225"/>
      <c r="D7" s="225"/>
      <c r="E7" s="225"/>
      <c r="F7" s="100">
        <f>EOMONTH(Model!$G$19, Model!$G$24)</f>
        <v>43465</v>
      </c>
      <c r="G7" s="100">
        <f>EOMONTH(F7, Model!$G$24)</f>
        <v>43830</v>
      </c>
      <c r="H7" s="100">
        <f>EOMONTH(G7, Model!$G$24)</f>
        <v>44196</v>
      </c>
      <c r="I7" s="100">
        <f>EOMONTH(H7, Model!$G$24)</f>
        <v>44561</v>
      </c>
      <c r="J7" s="100">
        <f>EOMONTH(I7, Model!$G$24)</f>
        <v>44926</v>
      </c>
      <c r="K7" s="100">
        <f>EOMONTH(J7, Model!$G$24)</f>
        <v>45291</v>
      </c>
      <c r="L7" s="100">
        <f>EOMONTH(K7, Model!$G$24)</f>
        <v>45657</v>
      </c>
      <c r="M7" s="100">
        <f>EOMONTH(L7, Model!$G$24)</f>
        <v>46022</v>
      </c>
      <c r="N7" s="100">
        <f>EOMONTH(M7, Model!$G$24)</f>
        <v>46387</v>
      </c>
      <c r="O7" s="100">
        <f>EOMONTH(N7, Model!$G$24)</f>
        <v>46752</v>
      </c>
      <c r="P7" s="100">
        <f>EOMONTH(O7, Model!$G$24)</f>
        <v>47118</v>
      </c>
      <c r="Q7" s="100">
        <f>EOMONTH(P7, Model!$G$24)</f>
        <v>47483</v>
      </c>
      <c r="R7" s="100">
        <f>EOMONTH(Q7, Model!$G$24)</f>
        <v>47848</v>
      </c>
      <c r="S7" s="224"/>
      <c r="T7" s="271"/>
      <c r="U7" s="100" t="s">
        <v>140</v>
      </c>
      <c r="V7" s="29"/>
    </row>
    <row r="8" spans="1:22" x14ac:dyDescent="0.2">
      <c r="T8" s="28"/>
      <c r="V8" s="29"/>
    </row>
    <row r="9" spans="1:22" x14ac:dyDescent="0.2">
      <c r="C9" s="2" t="s">
        <v>237</v>
      </c>
      <c r="T9" s="28"/>
      <c r="V9" s="29"/>
    </row>
    <row r="10" spans="1:22" ht="5.0999999999999996" customHeight="1" x14ac:dyDescent="0.2">
      <c r="T10" s="28"/>
      <c r="V10" s="29"/>
    </row>
    <row r="11" spans="1:22" x14ac:dyDescent="0.2">
      <c r="C11" s="1" t="s">
        <v>36</v>
      </c>
      <c r="F11" s="259">
        <f>Model!I469</f>
        <v>0</v>
      </c>
      <c r="G11" s="259">
        <f>Model!J469</f>
        <v>0.77500000000000002</v>
      </c>
      <c r="H11" s="259">
        <f>Model!K469</f>
        <v>0.77500000000000002</v>
      </c>
      <c r="I11" s="259">
        <f>Model!L469</f>
        <v>0.77500000000000002</v>
      </c>
      <c r="J11" s="259">
        <f>Model!M469</f>
        <v>0.77500000000000002</v>
      </c>
      <c r="K11" s="259">
        <f>Model!N469</f>
        <v>0.77500000000000002</v>
      </c>
      <c r="L11" s="259">
        <f>Model!O469</f>
        <v>0.77500000000000002</v>
      </c>
      <c r="M11" s="259">
        <f>Model!P469</f>
        <v>0.77500000000000002</v>
      </c>
      <c r="N11" s="259">
        <f>Model!Q469</f>
        <v>0.77500000000000002</v>
      </c>
      <c r="O11" s="259">
        <f>Model!R469</f>
        <v>0.77500000000000002</v>
      </c>
      <c r="P11" s="259">
        <f>Model!S469</f>
        <v>0</v>
      </c>
      <c r="Q11" s="259">
        <f>Model!T469</f>
        <v>0</v>
      </c>
      <c r="R11" s="259">
        <f>Model!U469</f>
        <v>0</v>
      </c>
      <c r="T11" s="28"/>
      <c r="U11" s="108">
        <f>U68/U67</f>
        <v>0.77500000000000002</v>
      </c>
      <c r="V11" s="29"/>
    </row>
    <row r="12" spans="1:22" x14ac:dyDescent="0.2">
      <c r="C12" s="1" t="s">
        <v>138</v>
      </c>
      <c r="F12" s="268">
        <f>Model!I471</f>
        <v>0</v>
      </c>
      <c r="G12" s="268">
        <f>Model!J471</f>
        <v>204</v>
      </c>
      <c r="H12" s="268">
        <f>Model!K471</f>
        <v>208.08</v>
      </c>
      <c r="I12" s="268">
        <f>Model!L471</f>
        <v>212.24160000000001</v>
      </c>
      <c r="J12" s="268">
        <f>Model!M471</f>
        <v>216.48643200000001</v>
      </c>
      <c r="K12" s="268">
        <f>Model!N471</f>
        <v>220.81616064000002</v>
      </c>
      <c r="L12" s="268">
        <f>Model!O471</f>
        <v>225.23248385280002</v>
      </c>
      <c r="M12" s="268">
        <f>Model!P471</f>
        <v>229.73713352985601</v>
      </c>
      <c r="N12" s="268">
        <f>Model!Q471</f>
        <v>234.33187620045314</v>
      </c>
      <c r="O12" s="268">
        <f>Model!R471</f>
        <v>239.0185137244622</v>
      </c>
      <c r="P12" s="268">
        <f>Model!S471</f>
        <v>0</v>
      </c>
      <c r="Q12" s="268">
        <f>Model!T471</f>
        <v>0</v>
      </c>
      <c r="R12" s="268">
        <f>Model!U471</f>
        <v>0</v>
      </c>
      <c r="T12" s="28"/>
      <c r="U12" s="268">
        <f>U66*Model!G23/U68</f>
        <v>222.1075681960755</v>
      </c>
      <c r="V12" s="29"/>
    </row>
    <row r="13" spans="1:22" x14ac:dyDescent="0.2">
      <c r="C13" s="1" t="s">
        <v>139</v>
      </c>
      <c r="F13" s="268">
        <f>Model!I472</f>
        <v>0</v>
      </c>
      <c r="G13" s="268">
        <f>Model!J472</f>
        <v>158.1</v>
      </c>
      <c r="H13" s="268">
        <f>Model!K472</f>
        <v>161.262</v>
      </c>
      <c r="I13" s="268">
        <f>Model!L472</f>
        <v>164.48724000000001</v>
      </c>
      <c r="J13" s="268">
        <f>Model!M472</f>
        <v>167.77698480000001</v>
      </c>
      <c r="K13" s="268">
        <f>Model!N472</f>
        <v>171.132524496</v>
      </c>
      <c r="L13" s="268">
        <f>Model!O472</f>
        <v>174.55517498591999</v>
      </c>
      <c r="M13" s="268">
        <f>Model!P472</f>
        <v>178.0462784856384</v>
      </c>
      <c r="N13" s="268">
        <f>Model!Q472</f>
        <v>181.60720405535116</v>
      </c>
      <c r="O13" s="268">
        <f>Model!R472</f>
        <v>185.23934813645818</v>
      </c>
      <c r="P13" s="268">
        <f>Model!S472</f>
        <v>0</v>
      </c>
      <c r="Q13" s="268">
        <f>Model!T472</f>
        <v>0</v>
      </c>
      <c r="R13" s="268">
        <f>Model!U472</f>
        <v>0</v>
      </c>
      <c r="T13" s="28"/>
      <c r="U13" s="268">
        <f>U66*Model!G23/U67</f>
        <v>172.13336535195853</v>
      </c>
      <c r="V13" s="29"/>
    </row>
    <row r="14" spans="1:22" x14ac:dyDescent="0.2">
      <c r="T14" s="28"/>
      <c r="V14" s="29"/>
    </row>
    <row r="15" spans="1:22" x14ac:dyDescent="0.2">
      <c r="C15" s="2" t="s">
        <v>238</v>
      </c>
      <c r="T15" s="28"/>
      <c r="V15" s="29"/>
    </row>
    <row r="16" spans="1:22" ht="5.0999999999999996" customHeight="1" x14ac:dyDescent="0.2">
      <c r="T16" s="28"/>
      <c r="V16" s="29"/>
    </row>
    <row r="17" spans="3:25" x14ac:dyDescent="0.2">
      <c r="C17" s="283" t="s">
        <v>4</v>
      </c>
      <c r="D17" s="283"/>
      <c r="E17" s="283"/>
      <c r="F17" s="284">
        <f>Model!I520/Model!$G$23</f>
        <v>0</v>
      </c>
      <c r="G17" s="284">
        <f>Model!J520/Model!$G$23</f>
        <v>11.685566250000001</v>
      </c>
      <c r="H17" s="284">
        <f>Model!K520/Model!$G$23</f>
        <v>23.903866260000001</v>
      </c>
      <c r="I17" s="284">
        <f>Model!L520/Model!$G$23</f>
        <v>24.315326253000002</v>
      </c>
      <c r="J17" s="284">
        <f>Model!M520/Model!$G$23</f>
        <v>24.80163277806</v>
      </c>
      <c r="K17" s="284">
        <f>Model!N520/Model!$G$23</f>
        <v>25.297665433621201</v>
      </c>
      <c r="L17" s="284">
        <f>Model!O520/Model!$G$23</f>
        <v>25.874313588162916</v>
      </c>
      <c r="M17" s="284">
        <f>Model!P520/Model!$G$23</f>
        <v>26.319691117139495</v>
      </c>
      <c r="N17" s="284">
        <f>Model!Q520/Model!$G$23</f>
        <v>26.846084939482285</v>
      </c>
      <c r="O17" s="284">
        <f>Model!R520/Model!$G$23</f>
        <v>27.383006638271933</v>
      </c>
      <c r="P17" s="284">
        <f>Model!S520/Model!$G$23</f>
        <v>0</v>
      </c>
      <c r="Q17" s="284">
        <f>Model!T520/Model!$G$23</f>
        <v>0</v>
      </c>
      <c r="R17" s="284">
        <f>Model!U520/Model!$G$23</f>
        <v>0</v>
      </c>
      <c r="S17" s="285"/>
      <c r="T17" s="286"/>
      <c r="U17" s="287">
        <f>SUMIFS(E17:S17, E$4:S$4, $U$4)</f>
        <v>216.42715325773781</v>
      </c>
      <c r="V17" s="129"/>
    </row>
    <row r="18" spans="3:25" x14ac:dyDescent="0.2">
      <c r="C18" s="288" t="s">
        <v>12</v>
      </c>
      <c r="D18" s="288"/>
      <c r="E18" s="288"/>
      <c r="F18" s="289">
        <f>Model!I528/Model!$G$23</f>
        <v>0</v>
      </c>
      <c r="G18" s="289">
        <f>Model!J528/Model!$G$23</f>
        <v>-4.6958664375000003</v>
      </c>
      <c r="H18" s="289">
        <f>Model!K528/Model!$G$23</f>
        <v>-9.6058129230000002</v>
      </c>
      <c r="I18" s="289">
        <f>Model!L528/Model!$G$23</f>
        <v>-9.7711588831500009</v>
      </c>
      <c r="J18" s="289">
        <f>Model!M528/Model!$G$23</f>
        <v>-9.9665820608129998</v>
      </c>
      <c r="K18" s="289">
        <f>Model!N528/Model!$G$23</f>
        <v>-10.165913702029261</v>
      </c>
      <c r="L18" s="289">
        <f>Model!O528/Model!$G$23</f>
        <v>-10.397640830798805</v>
      </c>
      <c r="M18" s="289">
        <f>Model!P528/Model!$G$23</f>
        <v>-10.576616615591243</v>
      </c>
      <c r="N18" s="289">
        <f>Model!Q528/Model!$G$23</f>
        <v>-10.788148947903069</v>
      </c>
      <c r="O18" s="289">
        <f>Model!R528/Model!$G$23</f>
        <v>-11.003911926861131</v>
      </c>
      <c r="P18" s="289">
        <f>Model!S528/Model!$G$23</f>
        <v>0</v>
      </c>
      <c r="Q18" s="289">
        <f>Model!T528/Model!$G$23</f>
        <v>0</v>
      </c>
      <c r="R18" s="289">
        <f>Model!U528/Model!$G$23</f>
        <v>0</v>
      </c>
      <c r="S18" s="289"/>
      <c r="T18" s="290"/>
      <c r="U18" s="291">
        <f>SUMIFS(E18:S18, E$4:S$4, $U$4)</f>
        <v>-86.971652327646524</v>
      </c>
      <c r="V18" s="29"/>
    </row>
    <row r="19" spans="3:25" x14ac:dyDescent="0.2">
      <c r="C19" s="288" t="s">
        <v>181</v>
      </c>
      <c r="D19" s="288"/>
      <c r="E19" s="288"/>
      <c r="F19" s="289">
        <f>Model!I542/Model!$G$23</f>
        <v>0</v>
      </c>
      <c r="G19" s="289">
        <f>Model!J542/Model!$G$23</f>
        <v>-3.4522192293750003</v>
      </c>
      <c r="H19" s="289">
        <f>Model!K542/Model!$G$23</f>
        <v>-7.0618218230700007</v>
      </c>
      <c r="I19" s="289">
        <f>Model!L542/Model!$G$23</f>
        <v>-7.1833777724835004</v>
      </c>
      <c r="J19" s="289">
        <f>Model!M542/Model!$G$23</f>
        <v>-7.3270453279331704</v>
      </c>
      <c r="K19" s="289">
        <f>Model!N542/Model!$G$23</f>
        <v>-7.4735862344918331</v>
      </c>
      <c r="L19" s="289">
        <f>Model!O542/Model!$G$23</f>
        <v>-7.6439430494807974</v>
      </c>
      <c r="M19" s="289">
        <f>Model!P542/Model!$G$23</f>
        <v>-7.7755191183653043</v>
      </c>
      <c r="N19" s="289">
        <f>Model!Q542/Model!$G$23</f>
        <v>-7.9310295007326097</v>
      </c>
      <c r="O19" s="289">
        <f>Model!R542/Model!$G$23</f>
        <v>-8.0896500907472628</v>
      </c>
      <c r="P19" s="289">
        <f>Model!S542/Model!$G$23</f>
        <v>0</v>
      </c>
      <c r="Q19" s="289">
        <f>Model!T542/Model!$G$23</f>
        <v>0</v>
      </c>
      <c r="R19" s="289">
        <f>Model!U542/Model!$G$23</f>
        <v>0</v>
      </c>
      <c r="S19" s="289"/>
      <c r="T19" s="290"/>
      <c r="U19" s="291">
        <f>SUMIFS(E19:S19, E$4:S$4, $U$4)</f>
        <v>-63.938192146679476</v>
      </c>
      <c r="V19" s="129"/>
    </row>
    <row r="20" spans="3:25" x14ac:dyDescent="0.2">
      <c r="C20" s="292" t="s">
        <v>180</v>
      </c>
      <c r="D20" s="292"/>
      <c r="E20" s="292"/>
      <c r="F20" s="293">
        <f>Model!I550/Model!$G$23</f>
        <v>0</v>
      </c>
      <c r="G20" s="293">
        <f>Model!J550/Model!$G$23</f>
        <v>-0.54315000000000002</v>
      </c>
      <c r="H20" s="293">
        <f>Model!K550/Model!$G$23</f>
        <v>-1.108026</v>
      </c>
      <c r="I20" s="293">
        <f>Model!L550/Model!$G$23</f>
        <v>-1.1301865200000001</v>
      </c>
      <c r="J20" s="293">
        <f>Model!M550/Model!$G$23</f>
        <v>-1.1527902504000003</v>
      </c>
      <c r="K20" s="293">
        <f>Model!N550/Model!$G$23</f>
        <v>-1.1758460554079999</v>
      </c>
      <c r="L20" s="293">
        <f>Model!O550/Model!$G$23</f>
        <v>-1.19936297651616</v>
      </c>
      <c r="M20" s="293">
        <f>Model!P550/Model!$G$23</f>
        <v>-1.2233502360464832</v>
      </c>
      <c r="N20" s="293">
        <f>Model!Q550/Model!$G$23</f>
        <v>-1.2478172407674131</v>
      </c>
      <c r="O20" s="293">
        <f>Model!R550/Model!$G$23</f>
        <v>-1.2727735855827613</v>
      </c>
      <c r="P20" s="293">
        <f>Model!S550/Model!$G$23</f>
        <v>0</v>
      </c>
      <c r="Q20" s="293">
        <f>Model!T550/Model!$G$23</f>
        <v>0</v>
      </c>
      <c r="R20" s="293">
        <f>Model!U550/Model!$G$23</f>
        <v>0</v>
      </c>
      <c r="S20" s="294"/>
      <c r="T20" s="295"/>
      <c r="U20" s="293">
        <f>SUMIFS(E20:S20, E$4:S$4, $U$4)</f>
        <v>-10.053302864720818</v>
      </c>
      <c r="V20" s="129"/>
    </row>
    <row r="21" spans="3:25" ht="5.0999999999999996" customHeight="1" x14ac:dyDescent="0.2">
      <c r="C21" s="24"/>
      <c r="D21" s="24"/>
      <c r="E21" s="24"/>
      <c r="F21" s="270"/>
      <c r="G21" s="270"/>
      <c r="H21" s="270"/>
      <c r="I21" s="270"/>
      <c r="J21" s="270"/>
      <c r="K21" s="270"/>
      <c r="L21" s="270"/>
      <c r="M21" s="270"/>
      <c r="N21" s="270"/>
      <c r="O21" s="270"/>
      <c r="P21" s="270"/>
      <c r="Q21" s="270"/>
      <c r="R21" s="270"/>
      <c r="S21" s="132"/>
      <c r="T21" s="28"/>
      <c r="U21" s="270"/>
      <c r="V21" s="129"/>
    </row>
    <row r="22" spans="3:25" x14ac:dyDescent="0.2">
      <c r="C22" s="264" t="s">
        <v>5</v>
      </c>
      <c r="D22" s="264"/>
      <c r="E22" s="265"/>
      <c r="F22" s="265">
        <f>Model!I552/Model!$G$23</f>
        <v>0</v>
      </c>
      <c r="G22" s="265">
        <f>Model!J552/Model!$G$23</f>
        <v>2.994330583125</v>
      </c>
      <c r="H22" s="265">
        <f>Model!K552/Model!$G$23</f>
        <v>6.1282055139300002</v>
      </c>
      <c r="I22" s="265">
        <f>Model!L552/Model!$G$23</f>
        <v>6.2306030773665011</v>
      </c>
      <c r="J22" s="265">
        <f>Model!M552/Model!$G$23</f>
        <v>6.3552151389138292</v>
      </c>
      <c r="K22" s="265">
        <f>Model!N552/Model!$G$23</f>
        <v>6.4823194416921064</v>
      </c>
      <c r="L22" s="265">
        <f>Model!O552/Model!$G$23</f>
        <v>6.6333667313671549</v>
      </c>
      <c r="M22" s="265">
        <f>Model!P552/Model!$G$23</f>
        <v>6.7442051471364648</v>
      </c>
      <c r="N22" s="265">
        <f>Model!Q552/Model!$G$23</f>
        <v>6.8790892500791951</v>
      </c>
      <c r="O22" s="265">
        <f>Model!R552/Model!$G$23</f>
        <v>7.0166710350807788</v>
      </c>
      <c r="P22" s="265">
        <f>Model!S552/Model!$G$23</f>
        <v>0</v>
      </c>
      <c r="Q22" s="265">
        <f>Model!T552/Model!$G$23</f>
        <v>0</v>
      </c>
      <c r="R22" s="265">
        <f>Model!U552/Model!$G$23</f>
        <v>0</v>
      </c>
      <c r="S22" s="265"/>
      <c r="T22" s="266"/>
      <c r="U22" s="329">
        <f>SUMIFS(E22:S22, E$4:S$4, $U$4)</f>
        <v>55.464005918691029</v>
      </c>
      <c r="V22" s="130"/>
    </row>
    <row r="23" spans="3:25" ht="5.0999999999999996" customHeight="1" x14ac:dyDescent="0.2">
      <c r="C23" s="14"/>
      <c r="D23" s="14"/>
      <c r="E23" s="128"/>
      <c r="F23" s="128"/>
      <c r="G23" s="128"/>
      <c r="H23" s="128"/>
      <c r="I23" s="128"/>
      <c r="J23" s="128"/>
      <c r="K23" s="128"/>
      <c r="L23" s="128"/>
      <c r="M23" s="128"/>
      <c r="N23" s="128"/>
      <c r="O23" s="128"/>
      <c r="P23" s="128"/>
      <c r="Q23" s="128"/>
      <c r="R23" s="128"/>
      <c r="S23" s="128"/>
      <c r="T23" s="131"/>
      <c r="U23" s="128"/>
      <c r="V23" s="130"/>
    </row>
    <row r="24" spans="3:25" x14ac:dyDescent="0.2">
      <c r="C24" s="283" t="s">
        <v>49</v>
      </c>
      <c r="D24" s="283"/>
      <c r="E24" s="283"/>
      <c r="F24" s="296">
        <f ca="1">Model!I556/Model!$G$23</f>
        <v>21.153002747612202</v>
      </c>
      <c r="G24" s="296">
        <f>Model!J556/Model!$G$23</f>
        <v>0</v>
      </c>
      <c r="H24" s="296">
        <f>Model!K556/Model!$G$23</f>
        <v>0</v>
      </c>
      <c r="I24" s="296">
        <f>Model!L556/Model!$G$23</f>
        <v>0</v>
      </c>
      <c r="J24" s="296">
        <f>Model!M556/Model!$G$23</f>
        <v>0</v>
      </c>
      <c r="K24" s="296">
        <f>Model!N556/Model!$G$23</f>
        <v>0</v>
      </c>
      <c r="L24" s="296">
        <f>Model!O556/Model!$G$23</f>
        <v>0</v>
      </c>
      <c r="M24" s="296">
        <f>Model!P556/Model!$G$23</f>
        <v>0</v>
      </c>
      <c r="N24" s="296">
        <f>Model!Q556/Model!$G$23</f>
        <v>0</v>
      </c>
      <c r="O24" s="296">
        <f>Model!R556/Model!$G$23</f>
        <v>0</v>
      </c>
      <c r="P24" s="296">
        <f>Model!S556/Model!$G$23</f>
        <v>0</v>
      </c>
      <c r="Q24" s="296">
        <f>Model!T556/Model!$G$23</f>
        <v>0</v>
      </c>
      <c r="R24" s="296">
        <f>Model!U556/Model!$G$23</f>
        <v>0</v>
      </c>
      <c r="S24" s="297"/>
      <c r="T24" s="286"/>
      <c r="U24" s="296">
        <f ca="1">SUMIFS(E24:S24, E$4:S$4, $U$4)</f>
        <v>21.153002747612202</v>
      </c>
      <c r="V24" s="29"/>
    </row>
    <row r="25" spans="3:25" x14ac:dyDescent="0.2">
      <c r="C25" s="288" t="s">
        <v>152</v>
      </c>
      <c r="D25" s="288"/>
      <c r="E25" s="288"/>
      <c r="F25" s="291">
        <f ca="1">SUM(Model!I559, Model!I560)/Model!$G$23</f>
        <v>-45.429000000000002</v>
      </c>
      <c r="G25" s="291">
        <f ca="1">SUM(Model!J559, Model!J560)/Model!$G$23</f>
        <v>-21.9345</v>
      </c>
      <c r="H25" s="291">
        <f ca="1">SUM(Model!K559, Model!K560)/Model!$G$23</f>
        <v>0</v>
      </c>
      <c r="I25" s="291">
        <f ca="1">SUM(Model!L559, Model!L560)/Model!$G$23</f>
        <v>0</v>
      </c>
      <c r="J25" s="291">
        <f ca="1">SUM(Model!M559, Model!M560)/Model!$G$23</f>
        <v>0</v>
      </c>
      <c r="K25" s="291">
        <f ca="1">SUM(Model!N559, Model!N560)/Model!$G$23</f>
        <v>0</v>
      </c>
      <c r="L25" s="291">
        <f ca="1">SUM(Model!O559, Model!O560)/Model!$G$23</f>
        <v>0</v>
      </c>
      <c r="M25" s="291">
        <f ca="1">SUM(Model!P559, Model!P560)/Model!$G$23</f>
        <v>0</v>
      </c>
      <c r="N25" s="291">
        <f ca="1">SUM(Model!Q559, Model!Q560)/Model!$G$23</f>
        <v>0</v>
      </c>
      <c r="O25" s="291">
        <f ca="1">SUM(Model!R559, Model!R560)/Model!$G$23</f>
        <v>0</v>
      </c>
      <c r="P25" s="291">
        <f ca="1">SUM(Model!S559, Model!S560)/Model!$G$23</f>
        <v>0</v>
      </c>
      <c r="Q25" s="291">
        <f ca="1">SUM(Model!T559, Model!T560)/Model!$G$23</f>
        <v>0</v>
      </c>
      <c r="R25" s="291">
        <f ca="1">SUM(Model!U559, Model!U560)/Model!$G$23</f>
        <v>0</v>
      </c>
      <c r="S25" s="289"/>
      <c r="T25" s="290"/>
      <c r="U25" s="291">
        <f ca="1">SUMIFS(E25:S25, E$4:S$4, $U$4)</f>
        <v>-67.363500000000002</v>
      </c>
      <c r="V25" s="29"/>
    </row>
    <row r="26" spans="3:25" x14ac:dyDescent="0.2">
      <c r="C26" s="288" t="s">
        <v>153</v>
      </c>
      <c r="D26" s="288"/>
      <c r="E26" s="288"/>
      <c r="F26" s="291">
        <f ca="1">SUM(Model!I561, Model!I565)/Model!$G$23</f>
        <v>-1.2339251602773782</v>
      </c>
      <c r="G26" s="291">
        <f ca="1">SUM(Model!J561, Model!J565)/Model!$G$23</f>
        <v>-1.8473885300404527</v>
      </c>
      <c r="H26" s="291">
        <f ca="1">SUM(Model!K561, Model!K565)/Model!$G$23</f>
        <v>-1.818244055497638</v>
      </c>
      <c r="I26" s="291">
        <f ca="1">SUM(Model!L561, Model!L565)/Model!$G$23</f>
        <v>-1.7829649505235552</v>
      </c>
      <c r="J26" s="291">
        <f ca="1">SUM(Model!M561, Model!M565)/Model!$G$23</f>
        <v>-1.7463399020943176</v>
      </c>
      <c r="K26" s="291">
        <f ca="1">SUM(Model!N561, Model!N565)/Model!$G$23</f>
        <v>-1.7083175607273968</v>
      </c>
      <c r="L26" s="291">
        <f ca="1">SUM(Model!O561, Model!O565)/Model!$G$23</f>
        <v>-1.6688446178911334</v>
      </c>
      <c r="M26" s="291">
        <f ca="1">SUM(Model!P561, Model!P565)/Model!$G$23</f>
        <v>-1.6278657312644818</v>
      </c>
      <c r="N26" s="291">
        <f ca="1">SUM(Model!Q561, Model!Q565)/Model!$G$23</f>
        <v>-1.5853234471453141</v>
      </c>
      <c r="O26" s="291">
        <f ca="1">SUM(Model!R561, Model!R565)/Model!$G$23</f>
        <v>-1.5411581198985045</v>
      </c>
      <c r="P26" s="291">
        <f ca="1">SUM(Model!S561, Model!S565)/Model!$G$23</f>
        <v>0</v>
      </c>
      <c r="Q26" s="291">
        <f ca="1">SUM(Model!T561, Model!T565)/Model!$G$23</f>
        <v>0</v>
      </c>
      <c r="R26" s="291">
        <f ca="1">SUM(Model!U561, Model!U565)/Model!$G$23</f>
        <v>0</v>
      </c>
      <c r="S26" s="289"/>
      <c r="T26" s="290"/>
      <c r="U26" s="291">
        <f ca="1">SUMIFS(E26:S26, E$4:S$4, $U$4)</f>
        <v>-16.560372075360171</v>
      </c>
      <c r="V26" s="29"/>
      <c r="X26" s="282"/>
      <c r="Y26" s="272"/>
    </row>
    <row r="27" spans="3:25" x14ac:dyDescent="0.2">
      <c r="C27" s="288" t="s">
        <v>154</v>
      </c>
      <c r="D27" s="288"/>
      <c r="E27" s="288"/>
      <c r="F27" s="291">
        <f ca="1">SUM(Model!I557, Model!I558, Model!I562, Model!I563, Model!I564, Model!I566)/Model!$G$23</f>
        <v>32.164315844563653</v>
      </c>
      <c r="G27" s="291">
        <f ca="1">SUM(Model!J557, Model!J558, Model!J562, Model!J563, Model!J564, Model!J566)/Model!$G$23</f>
        <v>15.756015144803769</v>
      </c>
      <c r="H27" s="291">
        <f ca="1">SUM(Model!K557, Model!K558, Model!K562, Model!K563, Model!K564, Model!K566)/Model!$G$23</f>
        <v>-0.92471585117879607</v>
      </c>
      <c r="I27" s="291">
        <f ca="1">SUM(Model!L557, Model!L558, Model!L562, Model!L563, Model!L564, Model!L566)/Model!$G$23</f>
        <v>-0.95999495615287855</v>
      </c>
      <c r="J27" s="291">
        <f ca="1">SUM(Model!M557, Model!M558, Model!M562, Model!M563, Model!M564, Model!M566)/Model!$G$23</f>
        <v>-0.9966200045821163</v>
      </c>
      <c r="K27" s="291">
        <f ca="1">SUM(Model!N557, Model!N558, Model!N562, Model!N563, Model!N564, Model!N566)/Model!$G$23</f>
        <v>-1.0346423459490373</v>
      </c>
      <c r="L27" s="291">
        <f ca="1">SUM(Model!O557, Model!O558, Model!O562, Model!O563, Model!O564, Model!O566)/Model!$G$23</f>
        <v>-1.0741152887853007</v>
      </c>
      <c r="M27" s="291">
        <f ca="1">SUM(Model!P557, Model!P558, Model!P562, Model!P563, Model!P564, Model!P566)/Model!$G$23</f>
        <v>-1.1150941754119521</v>
      </c>
      <c r="N27" s="291">
        <f ca="1">SUM(Model!Q557, Model!Q558, Model!Q562, Model!Q563, Model!Q564, Model!Q566)/Model!$G$23</f>
        <v>-1.1576364595311197</v>
      </c>
      <c r="O27" s="291">
        <f ca="1">SUM(Model!R557, Model!R558, Model!R562, Model!R563, Model!R564, Model!R566)/Model!$G$23</f>
        <v>-41.644652035997986</v>
      </c>
      <c r="P27" s="291">
        <f ca="1">SUM(Model!S557, Model!S558, Model!S562, Model!S563, Model!S564, Model!S566)/Model!$G$23</f>
        <v>0</v>
      </c>
      <c r="Q27" s="291">
        <f ca="1">SUM(Model!T557, Model!T558, Model!T562, Model!T563, Model!T564, Model!T566)/Model!$G$23</f>
        <v>0</v>
      </c>
      <c r="R27" s="291">
        <f ca="1">SUM(Model!U557, Model!U558, Model!U562, Model!U563, Model!U564, Model!U566)/Model!$G$23</f>
        <v>0</v>
      </c>
      <c r="S27" s="289"/>
      <c r="T27" s="290"/>
      <c r="U27" s="291">
        <f ca="1">SUMIFS(E27:S27, E$4:S$4, $U$4)</f>
        <v>-0.98714012822176755</v>
      </c>
      <c r="V27" s="29"/>
      <c r="X27" s="282"/>
      <c r="Y27" s="258"/>
    </row>
    <row r="28" spans="3:25" x14ac:dyDescent="0.2">
      <c r="C28" s="292" t="s">
        <v>155</v>
      </c>
      <c r="D28" s="292"/>
      <c r="E28" s="292"/>
      <c r="F28" s="293">
        <f>SUM(Model!I567, Model!I568)/Model!$G$23</f>
        <v>0</v>
      </c>
      <c r="G28" s="293">
        <f>SUM(Model!J567, Model!J568)/Model!$G$23</f>
        <v>0</v>
      </c>
      <c r="H28" s="293">
        <f>SUM(Model!K567, Model!K568)/Model!$G$23</f>
        <v>0</v>
      </c>
      <c r="I28" s="293">
        <f>SUM(Model!L567, Model!L568)/Model!$G$23</f>
        <v>0</v>
      </c>
      <c r="J28" s="293">
        <f>SUM(Model!M567, Model!M568)/Model!$G$23</f>
        <v>0</v>
      </c>
      <c r="K28" s="293">
        <f>SUM(Model!N567, Model!N568)/Model!$G$23</f>
        <v>0</v>
      </c>
      <c r="L28" s="293">
        <f>SUM(Model!O567, Model!O568)/Model!$G$23</f>
        <v>0</v>
      </c>
      <c r="M28" s="293">
        <f>SUM(Model!P567, Model!P568)/Model!$G$23</f>
        <v>0</v>
      </c>
      <c r="N28" s="293">
        <f>SUM(Model!Q567, Model!Q568)/Model!$G$23</f>
        <v>0</v>
      </c>
      <c r="O28" s="293">
        <f>SUM(Model!R567, Model!R568)/Model!$G$23</f>
        <v>67.360041936775474</v>
      </c>
      <c r="P28" s="293">
        <f>SUM(Model!S567, Model!S568)/Model!$G$23</f>
        <v>0</v>
      </c>
      <c r="Q28" s="293">
        <f>SUM(Model!T567, Model!T568)/Model!$G$23</f>
        <v>0</v>
      </c>
      <c r="R28" s="293">
        <f>SUM(Model!U567, Model!U568)/Model!$G$23</f>
        <v>0</v>
      </c>
      <c r="S28" s="294"/>
      <c r="T28" s="295"/>
      <c r="U28" s="293">
        <f>SUMIFS(E28:S28, E$4:S$4, $U$4)</f>
        <v>67.360041936775474</v>
      </c>
      <c r="V28" s="29"/>
    </row>
    <row r="29" spans="3:25" ht="5.0999999999999996" customHeight="1" x14ac:dyDescent="0.2"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32"/>
      <c r="T29" s="28"/>
      <c r="U29" s="127"/>
      <c r="V29" s="29"/>
    </row>
    <row r="30" spans="3:25" x14ac:dyDescent="0.2">
      <c r="C30" s="102" t="s">
        <v>266</v>
      </c>
      <c r="D30" s="102"/>
      <c r="E30" s="165"/>
      <c r="F30" s="165">
        <f ca="1">Model!I573/Model!$G$23</f>
        <v>6.6543934318984785</v>
      </c>
      <c r="G30" s="165">
        <f ca="1">Model!J573/Model!$G$23</f>
        <v>-5.0315428021116855</v>
      </c>
      <c r="H30" s="165">
        <f ca="1">Model!K573/Model!$G$23</f>
        <v>3.3852456072535664</v>
      </c>
      <c r="I30" s="165">
        <f ca="1">Model!L573/Model!$G$23</f>
        <v>3.4876431706900672</v>
      </c>
      <c r="J30" s="165">
        <f ca="1">Model!M573/Model!$G$23</f>
        <v>3.6122552322373949</v>
      </c>
      <c r="K30" s="165">
        <f ca="1">Model!N573/Model!$G$23</f>
        <v>3.7393595350156725</v>
      </c>
      <c r="L30" s="165">
        <f ca="1">Model!O573/Model!$G$23</f>
        <v>3.8904068246907211</v>
      </c>
      <c r="M30" s="165">
        <f ca="1">Model!P573/Model!$G$23</f>
        <v>4.0012452404600305</v>
      </c>
      <c r="N30" s="165">
        <f ca="1">Model!Q573/Model!$G$23</f>
        <v>4.1361293434027608</v>
      </c>
      <c r="O30" s="165">
        <f ca="1">Model!R573/Model!$G$23</f>
        <v>-27.87513558350118</v>
      </c>
      <c r="P30" s="165">
        <f ca="1">Model!S573/Model!$G$23</f>
        <v>0</v>
      </c>
      <c r="Q30" s="165">
        <f ca="1">Model!T573/Model!$G$23</f>
        <v>0</v>
      </c>
      <c r="R30" s="165">
        <f ca="1">Model!U573/Model!$G$23</f>
        <v>0</v>
      </c>
      <c r="S30" s="165"/>
      <c r="T30" s="331"/>
      <c r="U30" s="165">
        <f ca="1">SUMIFS(E30:S30, E$4:S$4, $U$4)</f>
        <v>3.5825564737024251E-11</v>
      </c>
      <c r="V30" s="130"/>
    </row>
    <row r="31" spans="3:25" x14ac:dyDescent="0.2">
      <c r="T31" s="28"/>
      <c r="V31" s="29"/>
    </row>
    <row r="32" spans="3:25" x14ac:dyDescent="0.2">
      <c r="C32" s="102" t="s">
        <v>151</v>
      </c>
      <c r="D32" s="102"/>
      <c r="E32" s="165"/>
      <c r="F32" s="165">
        <f ca="1">Model!I575/Model!$G$23</f>
        <v>-14.498609315713722</v>
      </c>
      <c r="G32" s="165">
        <f ca="1">Model!J575/Model!$G$23</f>
        <v>-5.0315428021116855</v>
      </c>
      <c r="H32" s="165">
        <f ca="1">Model!K575/Model!$G$23</f>
        <v>3.3852456072535664</v>
      </c>
      <c r="I32" s="165">
        <f ca="1">Model!L575/Model!$G$23</f>
        <v>3.4876431706900672</v>
      </c>
      <c r="J32" s="165">
        <f ca="1">Model!M575/Model!$G$23</f>
        <v>3.6122552322373949</v>
      </c>
      <c r="K32" s="165">
        <f ca="1">Model!N575/Model!$G$23</f>
        <v>3.7393595350156725</v>
      </c>
      <c r="L32" s="165">
        <f ca="1">Model!O575/Model!$G$23</f>
        <v>3.8904068246907211</v>
      </c>
      <c r="M32" s="165">
        <f ca="1">Model!P575/Model!$G$23</f>
        <v>4.0012452404600305</v>
      </c>
      <c r="N32" s="165">
        <f ca="1">Model!Q575/Model!$G$23</f>
        <v>4.1361293434027608</v>
      </c>
      <c r="O32" s="165">
        <f ca="1">Model!R575/Model!$G$23</f>
        <v>31.190902815959763</v>
      </c>
      <c r="P32" s="165">
        <f ca="1">Model!S575/Model!$G$23</f>
        <v>0</v>
      </c>
      <c r="Q32" s="165">
        <f ca="1">Model!T575/Model!$G$23</f>
        <v>0</v>
      </c>
      <c r="R32" s="165">
        <f ca="1">Model!U575/Model!$G$23</f>
        <v>0</v>
      </c>
      <c r="S32" s="165"/>
      <c r="T32" s="331"/>
      <c r="U32" s="165">
        <f ca="1">SUMIFS(E32:S32, E$4:S$4, $U$4)</f>
        <v>37.91303565188457</v>
      </c>
      <c r="V32" s="130"/>
    </row>
    <row r="33" spans="3:24" ht="5.0999999999999996" customHeight="1" thickBot="1" x14ac:dyDescent="0.25">
      <c r="T33" s="32"/>
      <c r="U33" s="33"/>
      <c r="V33" s="34"/>
    </row>
    <row r="35" spans="3:24" ht="5.0999999999999996" customHeight="1" x14ac:dyDescent="0.2">
      <c r="C35" s="35"/>
      <c r="D35" s="4"/>
      <c r="E35" s="4"/>
      <c r="F35" s="4"/>
      <c r="G35" s="4"/>
      <c r="H35" s="4"/>
      <c r="I35" s="4"/>
      <c r="J35" s="36"/>
    </row>
    <row r="36" spans="3:24" ht="38.25" x14ac:dyDescent="0.2">
      <c r="C36" s="278" t="s">
        <v>243</v>
      </c>
      <c r="F36" s="310" t="str">
        <f>"Unlev. NPV ("&amp;FIXED(Model!$G$609*100, 2, FALSE)&amp;"%)"</f>
        <v>Unlev. NPV (8.00%)</v>
      </c>
      <c r="G36" s="310" t="str">
        <f>"Lev. NPV ("&amp;FIXED(Model!$G$605*100, 2, FALSE)&amp;"%)"</f>
        <v>Lev. NPV (8.00%)</v>
      </c>
      <c r="H36" s="10" t="s">
        <v>262</v>
      </c>
      <c r="I36" s="10" t="s">
        <v>261</v>
      </c>
      <c r="J36" s="273" t="s">
        <v>306</v>
      </c>
      <c r="X36" s="134"/>
    </row>
    <row r="37" spans="3:24" ht="5.0999999999999996" customHeight="1" x14ac:dyDescent="0.2">
      <c r="C37" s="37"/>
      <c r="J37" s="38"/>
      <c r="X37" s="134"/>
    </row>
    <row r="38" spans="3:24" x14ac:dyDescent="0.2">
      <c r="C38" s="274" t="s">
        <v>240</v>
      </c>
      <c r="F38" s="277">
        <f>Model!AC638/Model!$G$23</f>
        <v>-16.628280473513556</v>
      </c>
      <c r="G38" s="277">
        <f>Model!AD638/Model!$G$23</f>
        <v>-8.0121942294467097</v>
      </c>
      <c r="H38" s="276">
        <f>Model!AE638</f>
        <v>3.1386077379043753E-2</v>
      </c>
      <c r="I38" s="276">
        <f>Model!AF638</f>
        <v>-1.3634318650658117E-2</v>
      </c>
      <c r="J38" s="275">
        <f>Model!AG638</f>
        <v>-7.7306289971288675E-2</v>
      </c>
      <c r="X38" s="134"/>
    </row>
    <row r="39" spans="3:24" x14ac:dyDescent="0.2">
      <c r="C39" s="274" t="s">
        <v>241</v>
      </c>
      <c r="F39" s="277">
        <f>Model!AC639/Model!$G$23</f>
        <v>4.9588848208288416</v>
      </c>
      <c r="G39" s="277">
        <f>Model!AD639/Model!$G$23</f>
        <v>13.275615567383975</v>
      </c>
      <c r="H39" s="276">
        <f>Model!AE639</f>
        <v>9.3123183357341377E-2</v>
      </c>
      <c r="I39" s="276">
        <f>Model!AF639</f>
        <v>0.18125518437763177</v>
      </c>
      <c r="J39" s="275">
        <f>Model!AG639</f>
        <v>1.792324054615086</v>
      </c>
      <c r="X39" s="134"/>
    </row>
    <row r="40" spans="3:24" x14ac:dyDescent="0.2">
      <c r="C40" s="274" t="s">
        <v>242</v>
      </c>
      <c r="F40" s="277">
        <f>Model!AC640/Model!$G$23</f>
        <v>30.693529047508221</v>
      </c>
      <c r="G40" s="277">
        <f>Model!AD640/Model!$G$23</f>
        <v>38.687183800883396</v>
      </c>
      <c r="H40" s="276">
        <f>Model!AE640</f>
        <v>0.15397781943568112</v>
      </c>
      <c r="I40" s="276">
        <f>Model!AF640</f>
        <v>0.3176531452396576</v>
      </c>
      <c r="J40" s="275">
        <f>Model!AG640</f>
        <v>4.2695959639779151</v>
      </c>
      <c r="X40" s="134"/>
    </row>
    <row r="41" spans="3:24" ht="5.0999999999999996" customHeight="1" x14ac:dyDescent="0.2">
      <c r="C41" s="39"/>
      <c r="D41" s="24"/>
      <c r="E41" s="24"/>
      <c r="F41" s="24"/>
      <c r="G41" s="24"/>
      <c r="H41" s="24"/>
      <c r="I41" s="24"/>
      <c r="J41" s="40"/>
      <c r="X41" s="134"/>
    </row>
    <row r="43" spans="3:24" ht="5.0999999999999996" customHeight="1" x14ac:dyDescent="0.2">
      <c r="C43" s="35"/>
      <c r="D43" s="4"/>
      <c r="E43" s="4"/>
      <c r="F43" s="4"/>
      <c r="G43" s="36"/>
    </row>
    <row r="44" spans="3:24" x14ac:dyDescent="0.2">
      <c r="C44" s="280" t="s">
        <v>48</v>
      </c>
      <c r="G44" s="38"/>
    </row>
    <row r="45" spans="3:24" ht="5.0999999999999996" customHeight="1" x14ac:dyDescent="0.2">
      <c r="C45" s="274"/>
      <c r="G45" s="38"/>
    </row>
    <row r="46" spans="3:24" x14ac:dyDescent="0.2">
      <c r="C46" s="274" t="s">
        <v>244</v>
      </c>
      <c r="F46" s="277">
        <f ca="1">Model!F35/Model!$G$23</f>
        <v>49.357006411095121</v>
      </c>
      <c r="G46" s="281">
        <f ca="1">Model!G35</f>
        <v>0.7</v>
      </c>
    </row>
    <row r="47" spans="3:24" x14ac:dyDescent="0.2">
      <c r="C47" s="274" t="s">
        <v>49</v>
      </c>
      <c r="F47" s="277">
        <f ca="1">Model!F36/Model!$G$23</f>
        <v>21.153002747612202</v>
      </c>
      <c r="G47" s="281">
        <f ca="1">Model!G36</f>
        <v>0.30000000000000004</v>
      </c>
    </row>
    <row r="48" spans="3:24" ht="5.0999999999999996" customHeight="1" x14ac:dyDescent="0.2">
      <c r="C48" s="274"/>
      <c r="F48" s="277"/>
      <c r="G48" s="281"/>
    </row>
    <row r="49" spans="3:22" x14ac:dyDescent="0.2">
      <c r="C49" s="279" t="s">
        <v>50</v>
      </c>
      <c r="D49" s="4"/>
      <c r="E49" s="4"/>
      <c r="F49" s="333">
        <f ca="1">Model!F38/Model!$G$23</f>
        <v>70.510009158707319</v>
      </c>
      <c r="G49" s="332">
        <f ca="1">Model!G38</f>
        <v>1</v>
      </c>
    </row>
    <row r="50" spans="3:22" x14ac:dyDescent="0.2">
      <c r="C50" s="274"/>
      <c r="F50" s="277"/>
      <c r="G50" s="281"/>
    </row>
    <row r="51" spans="3:22" x14ac:dyDescent="0.2">
      <c r="C51" s="280" t="s">
        <v>51</v>
      </c>
      <c r="F51" s="277"/>
      <c r="G51" s="281"/>
    </row>
    <row r="52" spans="3:22" ht="5.0999999999999996" customHeight="1" x14ac:dyDescent="0.2">
      <c r="C52" s="274"/>
      <c r="F52" s="277"/>
      <c r="G52" s="281"/>
    </row>
    <row r="53" spans="3:22" x14ac:dyDescent="0.2">
      <c r="C53" s="274" t="s">
        <v>68</v>
      </c>
      <c r="F53" s="277">
        <f>Model!F42/Model!$G$23</f>
        <v>-1.56</v>
      </c>
      <c r="G53" s="281">
        <f ca="1">Model!G42</f>
        <v>2.212451847068516E-2</v>
      </c>
    </row>
    <row r="54" spans="3:22" x14ac:dyDescent="0.2">
      <c r="C54" s="274" t="s">
        <v>52</v>
      </c>
      <c r="F54" s="277">
        <f ca="1">Model!F43/Model!$G$23</f>
        <v>-67.962869030485422</v>
      </c>
      <c r="G54" s="281">
        <f ca="1">Model!G43</f>
        <v>0.9638754815293149</v>
      </c>
    </row>
    <row r="55" spans="3:22" x14ac:dyDescent="0.2">
      <c r="C55" s="274" t="s">
        <v>286</v>
      </c>
      <c r="F55" s="277">
        <f ca="1">Model!F44/Model!$G$23</f>
        <v>-0.98714012822190245</v>
      </c>
      <c r="G55" s="281">
        <f ca="1">Model!G44</f>
        <v>1.3999999999999999E-2</v>
      </c>
    </row>
    <row r="56" spans="3:22" ht="5.0999999999999996" customHeight="1" x14ac:dyDescent="0.2">
      <c r="C56" s="274"/>
      <c r="F56" s="277"/>
      <c r="G56" s="281"/>
    </row>
    <row r="57" spans="3:22" x14ac:dyDescent="0.2">
      <c r="C57" s="279" t="s">
        <v>62</v>
      </c>
      <c r="D57" s="4"/>
      <c r="E57" s="4"/>
      <c r="F57" s="333">
        <f ca="1">Model!F46/Model!$G$23</f>
        <v>-70.510009158707319</v>
      </c>
      <c r="G57" s="332">
        <f ca="1">Model!G46</f>
        <v>1</v>
      </c>
    </row>
    <row r="58" spans="3:22" ht="5.0999999999999996" customHeight="1" x14ac:dyDescent="0.2">
      <c r="C58" s="39"/>
      <c r="D58" s="24"/>
      <c r="E58" s="24"/>
      <c r="F58" s="24"/>
      <c r="G58" s="40"/>
    </row>
    <row r="62" spans="3:22" x14ac:dyDescent="0.2">
      <c r="C62" s="5" t="s">
        <v>156</v>
      </c>
      <c r="D62" s="5"/>
      <c r="E62" s="5"/>
      <c r="F62" s="133">
        <f t="shared" ref="F62:Q62" ca="1" si="0">(F22-SUM(F16:F21))+(F30-SUM(F23:F29)-F22)</f>
        <v>1.7763568394002505E-15</v>
      </c>
      <c r="G62" s="133">
        <f t="shared" ca="1" si="0"/>
        <v>-3.5527136788005009E-15</v>
      </c>
      <c r="H62" s="133">
        <f t="shared" ca="1" si="0"/>
        <v>0</v>
      </c>
      <c r="I62" s="133">
        <f t="shared" ca="1" si="0"/>
        <v>0</v>
      </c>
      <c r="J62" s="133">
        <f t="shared" ca="1" si="0"/>
        <v>0</v>
      </c>
      <c r="K62" s="133">
        <f t="shared" ca="1" si="0"/>
        <v>0</v>
      </c>
      <c r="L62" s="133">
        <f t="shared" ca="1" si="0"/>
        <v>1.7763568394002505E-15</v>
      </c>
      <c r="M62" s="133">
        <f t="shared" ca="1" si="0"/>
        <v>0</v>
      </c>
      <c r="N62" s="133">
        <f t="shared" ca="1" si="0"/>
        <v>3.5527136788005009E-15</v>
      </c>
      <c r="O62" s="133">
        <f t="shared" ca="1" si="0"/>
        <v>-59.066038399460936</v>
      </c>
      <c r="P62" s="133">
        <f t="shared" ca="1" si="0"/>
        <v>0</v>
      </c>
      <c r="Q62" s="133">
        <f t="shared" ca="1" si="0"/>
        <v>0</v>
      </c>
      <c r="R62" s="133">
        <f t="shared" ref="R62" ca="1" si="1">(R22-SUM(R16:R21))+(R30-SUM(R23:R29)-R22)</f>
        <v>0</v>
      </c>
      <c r="S62" s="133"/>
      <c r="T62" s="133"/>
      <c r="U62" s="133">
        <f ca="1">(U22-SUM(U16:U21))+(U30-SUM(U23:U29)-U22)</f>
        <v>-59.066038399460901</v>
      </c>
      <c r="V62" s="45"/>
    </row>
    <row r="64" spans="3:22" x14ac:dyDescent="0.2">
      <c r="C64" s="1" t="s">
        <v>26</v>
      </c>
      <c r="F64" s="23">
        <f>F7</f>
        <v>43465</v>
      </c>
      <c r="G64" s="23">
        <f t="shared" ref="G64:Q64" si="2">G7</f>
        <v>43830</v>
      </c>
      <c r="H64" s="23">
        <f t="shared" si="2"/>
        <v>44196</v>
      </c>
      <c r="I64" s="23">
        <f t="shared" si="2"/>
        <v>44561</v>
      </c>
      <c r="J64" s="23">
        <f t="shared" si="2"/>
        <v>44926</v>
      </c>
      <c r="K64" s="23">
        <f t="shared" si="2"/>
        <v>45291</v>
      </c>
      <c r="L64" s="23">
        <f t="shared" si="2"/>
        <v>45657</v>
      </c>
      <c r="M64" s="23">
        <f t="shared" si="2"/>
        <v>46022</v>
      </c>
      <c r="N64" s="23">
        <f t="shared" si="2"/>
        <v>46387</v>
      </c>
      <c r="O64" s="23">
        <f t="shared" si="2"/>
        <v>46752</v>
      </c>
      <c r="P64" s="23">
        <f t="shared" si="2"/>
        <v>47118</v>
      </c>
      <c r="Q64" s="23">
        <f t="shared" si="2"/>
        <v>47483</v>
      </c>
      <c r="R64" s="23">
        <f t="shared" ref="R64" si="3">R7</f>
        <v>47848</v>
      </c>
    </row>
    <row r="66" spans="3:21" x14ac:dyDescent="0.2">
      <c r="C66" s="1" t="s">
        <v>239</v>
      </c>
      <c r="F66" s="242">
        <f>Model!I516/Model!$G$23</f>
        <v>0</v>
      </c>
      <c r="G66" s="242">
        <f>Model!J516/Model!$G$23</f>
        <v>8.6559749999999998</v>
      </c>
      <c r="H66" s="242">
        <f>Model!K516/Model!$G$23</f>
        <v>17.706567600000003</v>
      </c>
      <c r="I66" s="242">
        <f>Model!L516/Model!$G$23</f>
        <v>18.011352780000003</v>
      </c>
      <c r="J66" s="242">
        <f>Model!M516/Model!$G$23</f>
        <v>18.371579835599999</v>
      </c>
      <c r="K66" s="242">
        <f>Model!N516/Model!$G$23</f>
        <v>18.739011432312001</v>
      </c>
      <c r="L66" s="242">
        <f>Model!O516/Model!$G$23</f>
        <v>19.166158213454015</v>
      </c>
      <c r="M66" s="242">
        <f>Model!P516/Model!$G$23</f>
        <v>19.496067494177403</v>
      </c>
      <c r="N66" s="242">
        <f>Model!Q516/Model!$G$23</f>
        <v>19.885988844060954</v>
      </c>
      <c r="O66" s="242">
        <f>Model!R516/Model!$G$23</f>
        <v>20.283708620942171</v>
      </c>
      <c r="P66" s="242">
        <f>Model!S516/Model!$G$23</f>
        <v>0</v>
      </c>
      <c r="Q66" s="242">
        <f>Model!T516/Model!$G$23</f>
        <v>0</v>
      </c>
      <c r="R66" s="242">
        <f>Model!U516/Model!$G$23</f>
        <v>0</v>
      </c>
      <c r="S66" s="242">
        <f>Model!U516</f>
        <v>0</v>
      </c>
      <c r="T66" s="242">
        <f>Model!V516</f>
        <v>0</v>
      </c>
      <c r="U66" s="242">
        <f>SUMIFS(E66:S66, E$4:S$4, $U$4)</f>
        <v>160.31640982054657</v>
      </c>
    </row>
    <row r="67" spans="3:21" x14ac:dyDescent="0.2">
      <c r="C67" s="1" t="s">
        <v>187</v>
      </c>
      <c r="F67" s="13">
        <f>Model!I468</f>
        <v>0</v>
      </c>
      <c r="G67" s="13">
        <f>Model!J468</f>
        <v>54750</v>
      </c>
      <c r="H67" s="13">
        <f>Model!K468</f>
        <v>109800</v>
      </c>
      <c r="I67" s="13">
        <f>Model!L468</f>
        <v>109500</v>
      </c>
      <c r="J67" s="13">
        <f>Model!M468</f>
        <v>109500</v>
      </c>
      <c r="K67" s="13">
        <f>Model!N468</f>
        <v>109500</v>
      </c>
      <c r="L67" s="13">
        <f>Model!O468</f>
        <v>109800</v>
      </c>
      <c r="M67" s="13">
        <f>Model!P468</f>
        <v>109500</v>
      </c>
      <c r="N67" s="13">
        <f>Model!Q468</f>
        <v>109500</v>
      </c>
      <c r="O67" s="13">
        <f>Model!R468</f>
        <v>109500</v>
      </c>
      <c r="P67" s="13">
        <f>Model!S468</f>
        <v>0</v>
      </c>
      <c r="Q67" s="13">
        <f>Model!T468</f>
        <v>0</v>
      </c>
      <c r="R67" s="13">
        <f>Model!U468</f>
        <v>0</v>
      </c>
      <c r="U67" s="13">
        <f>SUMIFS(E67:S67, E$4:S$4, $U$4)</f>
        <v>931350</v>
      </c>
    </row>
    <row r="68" spans="3:21" x14ac:dyDescent="0.2">
      <c r="C68" s="1" t="s">
        <v>188</v>
      </c>
      <c r="F68" s="13">
        <f>Model!I470</f>
        <v>0</v>
      </c>
      <c r="G68" s="13">
        <f>Model!J470</f>
        <v>42431.25</v>
      </c>
      <c r="H68" s="13">
        <f>Model!K470</f>
        <v>85095</v>
      </c>
      <c r="I68" s="13">
        <f>Model!L470</f>
        <v>84862.5</v>
      </c>
      <c r="J68" s="13">
        <f>Model!M470</f>
        <v>84862.5</v>
      </c>
      <c r="K68" s="13">
        <f>Model!N470</f>
        <v>84862.5</v>
      </c>
      <c r="L68" s="13">
        <f>Model!O470</f>
        <v>85095</v>
      </c>
      <c r="M68" s="13">
        <f>Model!P470</f>
        <v>84862.5</v>
      </c>
      <c r="N68" s="13">
        <f>Model!Q470</f>
        <v>84862.5</v>
      </c>
      <c r="O68" s="13">
        <f>Model!R470</f>
        <v>84862.5</v>
      </c>
      <c r="P68" s="13">
        <f>Model!S470</f>
        <v>0</v>
      </c>
      <c r="Q68" s="13">
        <f>Model!T470</f>
        <v>0</v>
      </c>
      <c r="R68" s="13">
        <f>Model!U470</f>
        <v>0</v>
      </c>
      <c r="U68" s="13">
        <f>SUMIFS(E68:S68, E$4:S$4, $U$4)</f>
        <v>721796.25</v>
      </c>
    </row>
  </sheetData>
  <pageMargins left="0.7" right="0.7" top="0.75" bottom="0.75" header="0.3" footer="0.3"/>
  <pageSetup scale="7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70C0"/>
    <pageSetUpPr fitToPage="1"/>
  </sheetPr>
  <dimension ref="A1:X77"/>
  <sheetViews>
    <sheetView showGridLines="0" view="pageBreakPreview" zoomScale="85" zoomScaleNormal="100" zoomScaleSheetLayoutView="85" workbookViewId="0">
      <pane xSplit="6" ySplit="7" topLeftCell="G8" activePane="bottomRight" state="frozen"/>
      <selection pane="topRight" activeCell="F1" sqref="F1"/>
      <selection pane="bottomLeft" activeCell="A7" sqref="A7"/>
      <selection pane="bottomRight"/>
    </sheetView>
  </sheetViews>
  <sheetFormatPr defaultRowHeight="12.75" outlineLevelRow="1" outlineLevelCol="1" x14ac:dyDescent="0.2"/>
  <cols>
    <col min="1" max="2" width="3.28515625" style="1" customWidth="1"/>
    <col min="3" max="3" width="22.7109375" style="1" customWidth="1"/>
    <col min="4" max="4" width="15.28515625" style="1" customWidth="1"/>
    <col min="5" max="5" width="0.85546875" style="1" customWidth="1"/>
    <col min="6" max="6" width="0.85546875" style="1" hidden="1" customWidth="1" outlineLevel="1"/>
    <col min="7" max="7" width="10.28515625" style="1" customWidth="1" collapsed="1"/>
    <col min="8" max="16" width="10.28515625" style="1" customWidth="1"/>
    <col min="17" max="19" width="10.28515625" style="1" hidden="1" customWidth="1" outlineLevel="1"/>
    <col min="20" max="20" width="0.85546875" style="1" hidden="1" customWidth="1" outlineLevel="1"/>
    <col min="21" max="21" width="0.85546875" style="1" customWidth="1" collapsed="1"/>
    <col min="22" max="22" width="0.85546875" style="1" customWidth="1"/>
    <col min="23" max="23" width="10.28515625" style="1" customWidth="1"/>
    <col min="24" max="24" width="0.85546875" style="1" customWidth="1"/>
    <col min="25" max="16384" width="9.140625" style="1"/>
  </cols>
  <sheetData>
    <row r="1" spans="1:24" ht="23.25" x14ac:dyDescent="0.35">
      <c r="A1" s="11" t="str">
        <f>Model!$G$11</f>
        <v>ABC Hotel</v>
      </c>
    </row>
    <row r="2" spans="1:24" x14ac:dyDescent="0.2">
      <c r="B2" s="1" t="str">
        <f>"Pro Forma ($'s stated in "&amp;IF(Model!G23=1000, "thousands", IF(Model!G23=1000000, "millions", IF(Model!G23=1000000000, "billions")))&amp;")"</f>
        <v>Pro Forma ($'s stated in millions)</v>
      </c>
    </row>
    <row r="3" spans="1:24" ht="13.5" thickBot="1" x14ac:dyDescent="0.25"/>
    <row r="4" spans="1:24" ht="13.5" hidden="1" outlineLevel="1" thickBot="1" x14ac:dyDescent="0.25">
      <c r="G4" s="119" t="s">
        <v>136</v>
      </c>
      <c r="H4" s="119" t="s">
        <v>136</v>
      </c>
      <c r="I4" s="119" t="s">
        <v>136</v>
      </c>
      <c r="J4" s="119" t="s">
        <v>136</v>
      </c>
      <c r="K4" s="119" t="s">
        <v>136</v>
      </c>
      <c r="L4" s="119" t="s">
        <v>136</v>
      </c>
      <c r="M4" s="119" t="s">
        <v>136</v>
      </c>
      <c r="N4" s="119" t="s">
        <v>136</v>
      </c>
      <c r="O4" s="119" t="s">
        <v>136</v>
      </c>
      <c r="P4" s="119" t="s">
        <v>136</v>
      </c>
      <c r="Q4" s="119" t="s">
        <v>136</v>
      </c>
      <c r="R4" s="119" t="s">
        <v>136</v>
      </c>
      <c r="S4" s="119" t="s">
        <v>136</v>
      </c>
      <c r="W4" s="119" t="s">
        <v>136</v>
      </c>
    </row>
    <row r="5" spans="1:24" ht="5.0999999999999996" customHeight="1" collapsed="1" x14ac:dyDescent="0.2">
      <c r="V5" s="311"/>
      <c r="W5" s="26"/>
      <c r="X5" s="312"/>
    </row>
    <row r="6" spans="1:24" ht="15" x14ac:dyDescent="0.2">
      <c r="C6" s="225"/>
      <c r="D6" s="225"/>
      <c r="E6" s="225"/>
      <c r="F6" s="225"/>
      <c r="G6" s="99" t="s">
        <v>25</v>
      </c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V6" s="313"/>
      <c r="W6" s="99"/>
      <c r="X6" s="314"/>
    </row>
    <row r="7" spans="1:24" x14ac:dyDescent="0.2">
      <c r="C7" s="225"/>
      <c r="D7" s="225"/>
      <c r="E7" s="225"/>
      <c r="F7" s="225"/>
      <c r="G7" s="100">
        <f>EOMONTH(Model!$G$19, Model!$G$24)</f>
        <v>43465</v>
      </c>
      <c r="H7" s="100">
        <f>EOMONTH(G7, Model!$G$24)</f>
        <v>43830</v>
      </c>
      <c r="I7" s="100">
        <f>EOMONTH(H7, Model!$G$24)</f>
        <v>44196</v>
      </c>
      <c r="J7" s="100">
        <f>EOMONTH(I7, Model!$G$24)</f>
        <v>44561</v>
      </c>
      <c r="K7" s="100">
        <f>EOMONTH(J7, Model!$G$24)</f>
        <v>44926</v>
      </c>
      <c r="L7" s="100">
        <f>EOMONTH(K7, Model!$G$24)</f>
        <v>45291</v>
      </c>
      <c r="M7" s="100">
        <f>EOMONTH(L7, Model!$G$24)</f>
        <v>45657</v>
      </c>
      <c r="N7" s="100">
        <f>EOMONTH(M7, Model!$G$24)</f>
        <v>46022</v>
      </c>
      <c r="O7" s="100">
        <f>EOMONTH(N7, Model!$G$24)</f>
        <v>46387</v>
      </c>
      <c r="P7" s="100">
        <f>EOMONTH(O7, Model!$G$24)</f>
        <v>46752</v>
      </c>
      <c r="Q7" s="100">
        <f>EOMONTH(P7, Model!$G$24)</f>
        <v>47118</v>
      </c>
      <c r="R7" s="100">
        <f>EOMONTH(Q7, Model!$G$24)</f>
        <v>47483</v>
      </c>
      <c r="S7" s="100">
        <f>EOMONTH(R7, Model!$G$24)</f>
        <v>47848</v>
      </c>
      <c r="V7" s="313"/>
      <c r="W7" s="100" t="s">
        <v>140</v>
      </c>
      <c r="X7" s="314"/>
    </row>
    <row r="8" spans="1:24" x14ac:dyDescent="0.2">
      <c r="V8" s="313"/>
      <c r="X8" s="314"/>
    </row>
    <row r="9" spans="1:24" x14ac:dyDescent="0.2">
      <c r="C9" s="2" t="s">
        <v>237</v>
      </c>
      <c r="V9" s="313"/>
      <c r="X9" s="314"/>
    </row>
    <row r="10" spans="1:24" ht="5.0999999999999996" customHeight="1" x14ac:dyDescent="0.2">
      <c r="V10" s="313"/>
      <c r="X10" s="314"/>
    </row>
    <row r="11" spans="1:24" x14ac:dyDescent="0.2">
      <c r="C11" s="1" t="s">
        <v>187</v>
      </c>
      <c r="G11" s="13">
        <f>Model!I468</f>
        <v>0</v>
      </c>
      <c r="H11" s="13">
        <f>Model!J468</f>
        <v>54750</v>
      </c>
      <c r="I11" s="13">
        <f>Model!K468</f>
        <v>109800</v>
      </c>
      <c r="J11" s="13">
        <f>Model!L468</f>
        <v>109500</v>
      </c>
      <c r="K11" s="13">
        <f>Model!M468</f>
        <v>109500</v>
      </c>
      <c r="L11" s="13">
        <f>Model!N468</f>
        <v>109500</v>
      </c>
      <c r="M11" s="13">
        <f>Model!O468</f>
        <v>109800</v>
      </c>
      <c r="N11" s="13">
        <f>Model!P468</f>
        <v>109500</v>
      </c>
      <c r="O11" s="13">
        <f>Model!Q468</f>
        <v>109500</v>
      </c>
      <c r="P11" s="13">
        <f>Model!R468</f>
        <v>109500</v>
      </c>
      <c r="Q11" s="13">
        <f>Model!S468</f>
        <v>0</v>
      </c>
      <c r="R11" s="13">
        <f>Model!T468</f>
        <v>0</v>
      </c>
      <c r="S11" s="13">
        <f>Model!U468</f>
        <v>0</v>
      </c>
      <c r="V11" s="313"/>
      <c r="W11" s="269">
        <f>SUM(F11:T11)</f>
        <v>931350</v>
      </c>
      <c r="X11" s="314"/>
    </row>
    <row r="12" spans="1:24" x14ac:dyDescent="0.2">
      <c r="C12" s="1" t="s">
        <v>36</v>
      </c>
      <c r="G12" s="259">
        <f>Model!I469</f>
        <v>0</v>
      </c>
      <c r="H12" s="259">
        <f>Model!J469</f>
        <v>0.77500000000000002</v>
      </c>
      <c r="I12" s="259">
        <f>Model!K469</f>
        <v>0.77500000000000002</v>
      </c>
      <c r="J12" s="259">
        <f>Model!L469</f>
        <v>0.77500000000000002</v>
      </c>
      <c r="K12" s="259">
        <f>Model!M469</f>
        <v>0.77500000000000002</v>
      </c>
      <c r="L12" s="259">
        <f>Model!N469</f>
        <v>0.77500000000000002</v>
      </c>
      <c r="M12" s="259">
        <f>Model!O469</f>
        <v>0.77500000000000002</v>
      </c>
      <c r="N12" s="259">
        <f>Model!P469</f>
        <v>0.77500000000000002</v>
      </c>
      <c r="O12" s="259">
        <f>Model!Q469</f>
        <v>0.77500000000000002</v>
      </c>
      <c r="P12" s="259">
        <f>Model!R469</f>
        <v>0.77500000000000002</v>
      </c>
      <c r="Q12" s="259">
        <f>Model!S469</f>
        <v>0</v>
      </c>
      <c r="R12" s="259">
        <f>Model!T469</f>
        <v>0</v>
      </c>
      <c r="S12" s="259">
        <f>Model!U469</f>
        <v>0</v>
      </c>
      <c r="V12" s="313"/>
      <c r="W12" s="108">
        <f>W13/W11</f>
        <v>0.77500000000000002</v>
      </c>
      <c r="X12" s="314"/>
    </row>
    <row r="13" spans="1:24" x14ac:dyDescent="0.2">
      <c r="C13" s="1" t="s">
        <v>188</v>
      </c>
      <c r="G13" s="13">
        <f>Model!I470</f>
        <v>0</v>
      </c>
      <c r="H13" s="13">
        <f>Model!J470</f>
        <v>42431.25</v>
      </c>
      <c r="I13" s="13">
        <f>Model!K470</f>
        <v>85095</v>
      </c>
      <c r="J13" s="13">
        <f>Model!L470</f>
        <v>84862.5</v>
      </c>
      <c r="K13" s="13">
        <f>Model!M470</f>
        <v>84862.5</v>
      </c>
      <c r="L13" s="13">
        <f>Model!N470</f>
        <v>84862.5</v>
      </c>
      <c r="M13" s="13">
        <f>Model!O470</f>
        <v>85095</v>
      </c>
      <c r="N13" s="13">
        <f>Model!P470</f>
        <v>84862.5</v>
      </c>
      <c r="O13" s="13">
        <f>Model!Q470</f>
        <v>84862.5</v>
      </c>
      <c r="P13" s="13">
        <f>Model!R470</f>
        <v>84862.5</v>
      </c>
      <c r="Q13" s="13">
        <f>Model!S470</f>
        <v>0</v>
      </c>
      <c r="R13" s="13">
        <f>Model!T470</f>
        <v>0</v>
      </c>
      <c r="S13" s="13">
        <f>Model!U470</f>
        <v>0</v>
      </c>
      <c r="V13" s="313"/>
      <c r="W13" s="269">
        <f>SUM(F13:T13)</f>
        <v>721796.25</v>
      </c>
      <c r="X13" s="314"/>
    </row>
    <row r="14" spans="1:24" x14ac:dyDescent="0.2">
      <c r="C14" s="1" t="s">
        <v>138</v>
      </c>
      <c r="G14" s="268">
        <f>Model!I471</f>
        <v>0</v>
      </c>
      <c r="H14" s="268">
        <f>Model!J471</f>
        <v>204</v>
      </c>
      <c r="I14" s="268">
        <f>Model!K471</f>
        <v>208.08</v>
      </c>
      <c r="J14" s="268">
        <f>Model!L471</f>
        <v>212.24160000000001</v>
      </c>
      <c r="K14" s="268">
        <f>Model!M471</f>
        <v>216.48643200000001</v>
      </c>
      <c r="L14" s="268">
        <f>Model!N471</f>
        <v>220.81616064000002</v>
      </c>
      <c r="M14" s="268">
        <f>Model!O471</f>
        <v>225.23248385280002</v>
      </c>
      <c r="N14" s="268">
        <f>Model!P471</f>
        <v>229.73713352985601</v>
      </c>
      <c r="O14" s="268">
        <f>Model!Q471</f>
        <v>234.33187620045314</v>
      </c>
      <c r="P14" s="268">
        <f>Model!R471</f>
        <v>239.0185137244622</v>
      </c>
      <c r="Q14" s="268">
        <f>Model!S471</f>
        <v>0</v>
      </c>
      <c r="R14" s="268">
        <f>Model!T471</f>
        <v>0</v>
      </c>
      <c r="S14" s="268">
        <f>Model!U471</f>
        <v>0</v>
      </c>
      <c r="V14" s="313"/>
      <c r="W14" s="268">
        <f>W19*Model!G23/W13</f>
        <v>222.1075681960755</v>
      </c>
      <c r="X14" s="314"/>
    </row>
    <row r="15" spans="1:24" x14ac:dyDescent="0.2">
      <c r="C15" s="1" t="s">
        <v>139</v>
      </c>
      <c r="G15" s="268">
        <f>Model!I472</f>
        <v>0</v>
      </c>
      <c r="H15" s="268">
        <f>Model!J472</f>
        <v>158.1</v>
      </c>
      <c r="I15" s="268">
        <f>Model!K472</f>
        <v>161.262</v>
      </c>
      <c r="J15" s="268">
        <f>Model!L472</f>
        <v>164.48724000000001</v>
      </c>
      <c r="K15" s="268">
        <f>Model!M472</f>
        <v>167.77698480000001</v>
      </c>
      <c r="L15" s="268">
        <f>Model!N472</f>
        <v>171.132524496</v>
      </c>
      <c r="M15" s="268">
        <f>Model!O472</f>
        <v>174.55517498591999</v>
      </c>
      <c r="N15" s="268">
        <f>Model!P472</f>
        <v>178.0462784856384</v>
      </c>
      <c r="O15" s="268">
        <f>Model!Q472</f>
        <v>181.60720405535116</v>
      </c>
      <c r="P15" s="268">
        <f>Model!R472</f>
        <v>185.23934813645818</v>
      </c>
      <c r="Q15" s="268">
        <f>Model!S472</f>
        <v>0</v>
      </c>
      <c r="R15" s="268">
        <f>Model!T472</f>
        <v>0</v>
      </c>
      <c r="S15" s="268">
        <f>Model!U472</f>
        <v>0</v>
      </c>
      <c r="V15" s="313"/>
      <c r="W15" s="268">
        <f>W19*Model!G23/W11</f>
        <v>172.13336535195853</v>
      </c>
      <c r="X15" s="314"/>
    </row>
    <row r="16" spans="1:24" x14ac:dyDescent="0.2">
      <c r="V16" s="313"/>
      <c r="X16" s="314"/>
    </row>
    <row r="17" spans="3:24" x14ac:dyDescent="0.2">
      <c r="C17" s="2" t="s">
        <v>0</v>
      </c>
      <c r="V17" s="313"/>
      <c r="X17" s="314"/>
    </row>
    <row r="18" spans="3:24" ht="5.0999999999999996" customHeight="1" x14ac:dyDescent="0.2">
      <c r="V18" s="313"/>
      <c r="X18" s="314"/>
    </row>
    <row r="19" spans="3:24" x14ac:dyDescent="0.2">
      <c r="C19" s="283" t="s">
        <v>6</v>
      </c>
      <c r="D19" s="283"/>
      <c r="E19" s="283"/>
      <c r="F19" s="283"/>
      <c r="G19" s="287">
        <f>Model!I516/Model!$G$23</f>
        <v>0</v>
      </c>
      <c r="H19" s="287">
        <f>Model!J516/Model!$G$23</f>
        <v>8.6559749999999998</v>
      </c>
      <c r="I19" s="287">
        <f>Model!K516/Model!$G$23</f>
        <v>17.706567600000003</v>
      </c>
      <c r="J19" s="287">
        <f>Model!L516/Model!$G$23</f>
        <v>18.011352780000003</v>
      </c>
      <c r="K19" s="287">
        <f>Model!M516/Model!$G$23</f>
        <v>18.371579835599999</v>
      </c>
      <c r="L19" s="287">
        <f>Model!N516/Model!$G$23</f>
        <v>18.739011432312001</v>
      </c>
      <c r="M19" s="287">
        <f>Model!O516/Model!$G$23</f>
        <v>19.166158213454015</v>
      </c>
      <c r="N19" s="287">
        <f>Model!P516/Model!$G$23</f>
        <v>19.496067494177403</v>
      </c>
      <c r="O19" s="287">
        <f>Model!Q516/Model!$G$23</f>
        <v>19.885988844060954</v>
      </c>
      <c r="P19" s="287">
        <f>Model!R516/Model!$G$23</f>
        <v>20.283708620942171</v>
      </c>
      <c r="Q19" s="287">
        <f>Model!S516/Model!$G$23</f>
        <v>0</v>
      </c>
      <c r="R19" s="287">
        <f>Model!T516/Model!$G$23</f>
        <v>0</v>
      </c>
      <c r="S19" s="287">
        <f>Model!U516/Model!$G$23</f>
        <v>0</v>
      </c>
      <c r="T19" s="283"/>
      <c r="U19" s="283"/>
      <c r="V19" s="315"/>
      <c r="W19" s="287">
        <f>SUMIFS(F19:T19, F$4:T$4, W$4)</f>
        <v>160.31640982054657</v>
      </c>
      <c r="X19" s="314"/>
    </row>
    <row r="20" spans="3:24" x14ac:dyDescent="0.2">
      <c r="C20" s="288" t="s">
        <v>7</v>
      </c>
      <c r="D20" s="288"/>
      <c r="E20" s="288"/>
      <c r="F20" s="288"/>
      <c r="G20" s="291">
        <f>Model!I517/Model!$G$23</f>
        <v>0</v>
      </c>
      <c r="H20" s="291">
        <f>Model!J517/Model!$G$23</f>
        <v>2.1639937499999999</v>
      </c>
      <c r="I20" s="291">
        <f>Model!K517/Model!$G$23</f>
        <v>4.4266419000000008</v>
      </c>
      <c r="J20" s="291">
        <f>Model!L517/Model!$G$23</f>
        <v>4.5028381950000007</v>
      </c>
      <c r="K20" s="291">
        <f>Model!M517/Model!$G$23</f>
        <v>4.5928949588999997</v>
      </c>
      <c r="L20" s="291">
        <f>Model!N517/Model!$G$23</f>
        <v>4.6847528580780002</v>
      </c>
      <c r="M20" s="291">
        <f>Model!O517/Model!$G$23</f>
        <v>4.7915395533635037</v>
      </c>
      <c r="N20" s="291">
        <f>Model!P517/Model!$G$23</f>
        <v>4.8740168735443508</v>
      </c>
      <c r="O20" s="291">
        <f>Model!Q517/Model!$G$23</f>
        <v>4.9714972110152384</v>
      </c>
      <c r="P20" s="291">
        <f>Model!R517/Model!$G$23</f>
        <v>5.0709271552355428</v>
      </c>
      <c r="Q20" s="291">
        <f>Model!S517/Model!$G$23</f>
        <v>0</v>
      </c>
      <c r="R20" s="291">
        <f>Model!T517/Model!$G$23</f>
        <v>0</v>
      </c>
      <c r="S20" s="291">
        <f>Model!U517/Model!$G$23</f>
        <v>0</v>
      </c>
      <c r="T20" s="288"/>
      <c r="U20" s="288"/>
      <c r="V20" s="316"/>
      <c r="W20" s="291">
        <f>SUMIFS(F20:T20, F$4:T$4, W$4)</f>
        <v>40.079102455136642</v>
      </c>
      <c r="X20" s="314"/>
    </row>
    <row r="21" spans="3:24" x14ac:dyDescent="0.2">
      <c r="C21" s="292" t="s">
        <v>8</v>
      </c>
      <c r="D21" s="292"/>
      <c r="E21" s="292"/>
      <c r="F21" s="292"/>
      <c r="G21" s="293">
        <f>Model!I518/Model!$G$23</f>
        <v>0</v>
      </c>
      <c r="H21" s="293">
        <f>Model!J518/Model!$G$23</f>
        <v>0.86559749999999991</v>
      </c>
      <c r="I21" s="293">
        <f>Model!K518/Model!$G$23</f>
        <v>1.7706567600000001</v>
      </c>
      <c r="J21" s="293">
        <f>Model!L518/Model!$G$23</f>
        <v>1.8011352780000001</v>
      </c>
      <c r="K21" s="293">
        <f>Model!M518/Model!$G$23</f>
        <v>1.83715798356</v>
      </c>
      <c r="L21" s="293">
        <f>Model!N518/Model!$G$23</f>
        <v>1.8739011432312003</v>
      </c>
      <c r="M21" s="293">
        <f>Model!O518/Model!$G$23</f>
        <v>1.9166158213454016</v>
      </c>
      <c r="N21" s="293">
        <f>Model!P518/Model!$G$23</f>
        <v>1.9496067494177407</v>
      </c>
      <c r="O21" s="293">
        <f>Model!Q518/Model!$G$23</f>
        <v>1.9885988844060953</v>
      </c>
      <c r="P21" s="293">
        <f>Model!R518/Model!$G$23</f>
        <v>2.0283708620942176</v>
      </c>
      <c r="Q21" s="293">
        <f>Model!S518/Model!$G$23</f>
        <v>0</v>
      </c>
      <c r="R21" s="293">
        <f>Model!T518/Model!$G$23</f>
        <v>0</v>
      </c>
      <c r="S21" s="293">
        <f>Model!U518/Model!$G$23</f>
        <v>0</v>
      </c>
      <c r="T21" s="292"/>
      <c r="U21" s="292"/>
      <c r="V21" s="317"/>
      <c r="W21" s="293">
        <f>SUMIFS(F21:T21, F$4:T$4, W$4)</f>
        <v>16.031640982054657</v>
      </c>
      <c r="X21" s="314"/>
    </row>
    <row r="22" spans="3:24" ht="5.0999999999999996" customHeight="1" x14ac:dyDescent="0.2">
      <c r="V22" s="313"/>
      <c r="X22" s="314"/>
    </row>
    <row r="23" spans="3:24" x14ac:dyDescent="0.2">
      <c r="C23" s="20" t="s">
        <v>4</v>
      </c>
      <c r="D23" s="20"/>
      <c r="E23" s="20"/>
      <c r="F23" s="20"/>
      <c r="G23" s="126">
        <f>Model!I520/Model!$G$23</f>
        <v>0</v>
      </c>
      <c r="H23" s="126">
        <f>Model!J520/Model!$G$23</f>
        <v>11.685566250000001</v>
      </c>
      <c r="I23" s="126">
        <f>Model!K520/Model!$G$23</f>
        <v>23.903866260000001</v>
      </c>
      <c r="J23" s="126">
        <f>Model!L520/Model!$G$23</f>
        <v>24.315326253000002</v>
      </c>
      <c r="K23" s="126">
        <f>Model!M520/Model!$G$23</f>
        <v>24.80163277806</v>
      </c>
      <c r="L23" s="126">
        <f>Model!N520/Model!$G$23</f>
        <v>25.297665433621201</v>
      </c>
      <c r="M23" s="126">
        <f>Model!O520/Model!$G$23</f>
        <v>25.874313588162916</v>
      </c>
      <c r="N23" s="126">
        <f>Model!P520/Model!$G$23</f>
        <v>26.319691117139495</v>
      </c>
      <c r="O23" s="126">
        <f>Model!Q520/Model!$G$23</f>
        <v>26.846084939482285</v>
      </c>
      <c r="P23" s="126">
        <f>Model!R520/Model!$G$23</f>
        <v>27.383006638271933</v>
      </c>
      <c r="Q23" s="126">
        <f>Model!S520/Model!$G$23</f>
        <v>0</v>
      </c>
      <c r="R23" s="126">
        <f>Model!T520/Model!$G$23</f>
        <v>0</v>
      </c>
      <c r="S23" s="126">
        <f>Model!U520/Model!$G$23</f>
        <v>0</v>
      </c>
      <c r="T23" s="126"/>
      <c r="U23" s="126"/>
      <c r="V23" s="318"/>
      <c r="W23" s="125">
        <f>SUMIFS(F23:T23, F$4:T$4, W$4)</f>
        <v>216.42715325773781</v>
      </c>
      <c r="X23" s="319"/>
    </row>
    <row r="24" spans="3:24" x14ac:dyDescent="0.2">
      <c r="V24" s="313"/>
      <c r="X24" s="314"/>
    </row>
    <row r="25" spans="3:24" x14ac:dyDescent="0.2">
      <c r="C25" s="2" t="s">
        <v>9</v>
      </c>
      <c r="V25" s="313"/>
      <c r="X25" s="314"/>
    </row>
    <row r="26" spans="3:24" ht="5.0999999999999996" customHeight="1" x14ac:dyDescent="0.2">
      <c r="V26" s="313"/>
      <c r="X26" s="314"/>
    </row>
    <row r="27" spans="3:24" x14ac:dyDescent="0.2">
      <c r="C27" s="283" t="s">
        <v>10</v>
      </c>
      <c r="D27" s="283"/>
      <c r="E27" s="283"/>
      <c r="F27" s="283"/>
      <c r="G27" s="296">
        <f>Model!I524/Model!$G$23</f>
        <v>0</v>
      </c>
      <c r="H27" s="296">
        <f>Model!J524/Model!$G$23</f>
        <v>-2.3803931249999999</v>
      </c>
      <c r="I27" s="296">
        <f>Model!K524/Model!$G$23</f>
        <v>-4.8693060900000011</v>
      </c>
      <c r="J27" s="296">
        <f>Model!L524/Model!$G$23</f>
        <v>-4.9531220145000008</v>
      </c>
      <c r="K27" s="296">
        <f>Model!M524/Model!$G$23</f>
        <v>-5.0521844547900008</v>
      </c>
      <c r="L27" s="296">
        <f>Model!N524/Model!$G$23</f>
        <v>-5.1532281438858005</v>
      </c>
      <c r="M27" s="296">
        <f>Model!O524/Model!$G$23</f>
        <v>-5.2706935086998552</v>
      </c>
      <c r="N27" s="296">
        <f>Model!P524/Model!$G$23</f>
        <v>-5.3614185608987865</v>
      </c>
      <c r="O27" s="296">
        <f>Model!Q524/Model!$G$23</f>
        <v>-5.468646932116763</v>
      </c>
      <c r="P27" s="296">
        <f>Model!R524/Model!$G$23</f>
        <v>-5.578019870759098</v>
      </c>
      <c r="Q27" s="296">
        <f>Model!S524/Model!$G$23</f>
        <v>0</v>
      </c>
      <c r="R27" s="296">
        <f>Model!T524/Model!$G$23</f>
        <v>0</v>
      </c>
      <c r="S27" s="296">
        <f>Model!U524/Model!$G$23</f>
        <v>0</v>
      </c>
      <c r="T27" s="283"/>
      <c r="U27" s="283"/>
      <c r="V27" s="315"/>
      <c r="W27" s="296">
        <f>SUMIFS(F27:T27, F$4:T$4, W$4)</f>
        <v>-44.087012700650305</v>
      </c>
      <c r="X27" s="314"/>
    </row>
    <row r="28" spans="3:24" x14ac:dyDescent="0.2">
      <c r="C28" s="288" t="s">
        <v>7</v>
      </c>
      <c r="D28" s="288"/>
      <c r="E28" s="288"/>
      <c r="F28" s="288"/>
      <c r="G28" s="291">
        <f>Model!I525/Model!$G$23</f>
        <v>0</v>
      </c>
      <c r="H28" s="291">
        <f>Model!J525/Model!$G$23</f>
        <v>-1.5147956250000001</v>
      </c>
      <c r="I28" s="291">
        <f>Model!K525/Model!$G$23</f>
        <v>-3.0986493300000002</v>
      </c>
      <c r="J28" s="291">
        <f>Model!L525/Model!$G$23</f>
        <v>-3.1519867365000001</v>
      </c>
      <c r="K28" s="291">
        <f>Model!M525/Model!$G$23</f>
        <v>-3.2150264712299998</v>
      </c>
      <c r="L28" s="291">
        <f>Model!N525/Model!$G$23</f>
        <v>-3.2793270006546003</v>
      </c>
      <c r="M28" s="291">
        <f>Model!O525/Model!$G$23</f>
        <v>-3.3540776873544527</v>
      </c>
      <c r="N28" s="291">
        <f>Model!P525/Model!$G$23</f>
        <v>-3.4118118114810456</v>
      </c>
      <c r="O28" s="291">
        <f>Model!Q525/Model!$G$23</f>
        <v>-3.480048047710667</v>
      </c>
      <c r="P28" s="291">
        <f>Model!R525/Model!$G$23</f>
        <v>-3.54964900866488</v>
      </c>
      <c r="Q28" s="291">
        <f>Model!S525/Model!$G$23</f>
        <v>0</v>
      </c>
      <c r="R28" s="291">
        <f>Model!T525/Model!$G$23</f>
        <v>0</v>
      </c>
      <c r="S28" s="291">
        <f>Model!U525/Model!$G$23</f>
        <v>0</v>
      </c>
      <c r="T28" s="288"/>
      <c r="U28" s="288"/>
      <c r="V28" s="316"/>
      <c r="W28" s="291">
        <f>SUMIFS(F28:T28, F$4:T$4, W$4)</f>
        <v>-28.055371718595644</v>
      </c>
      <c r="X28" s="314"/>
    </row>
    <row r="29" spans="3:24" x14ac:dyDescent="0.2">
      <c r="C29" s="292" t="s">
        <v>8</v>
      </c>
      <c r="D29" s="292"/>
      <c r="E29" s="292"/>
      <c r="F29" s="292"/>
      <c r="G29" s="293">
        <f>Model!I526/Model!$G$23</f>
        <v>0</v>
      </c>
      <c r="H29" s="293">
        <f>Model!J526/Model!$G$23</f>
        <v>-0.8006776874999999</v>
      </c>
      <c r="I29" s="293">
        <f>Model!K526/Model!$G$23</f>
        <v>-1.637857503</v>
      </c>
      <c r="J29" s="293">
        <f>Model!L526/Model!$G$23</f>
        <v>-1.6660501321500001</v>
      </c>
      <c r="K29" s="293">
        <f>Model!M526/Model!$G$23</f>
        <v>-1.6993711347930001</v>
      </c>
      <c r="L29" s="293">
        <f>Model!N526/Model!$G$23</f>
        <v>-1.7333585574888604</v>
      </c>
      <c r="M29" s="293">
        <f>Model!O526/Model!$G$23</f>
        <v>-1.7728696347444965</v>
      </c>
      <c r="N29" s="293">
        <f>Model!P526/Model!$G$23</f>
        <v>-1.8033862432114103</v>
      </c>
      <c r="O29" s="293">
        <f>Model!Q526/Model!$G$23</f>
        <v>-1.8394539680756383</v>
      </c>
      <c r="P29" s="293">
        <f>Model!R526/Model!$G$23</f>
        <v>-1.8762430474371512</v>
      </c>
      <c r="Q29" s="293">
        <f>Model!S526/Model!$G$23</f>
        <v>0</v>
      </c>
      <c r="R29" s="293">
        <f>Model!T526/Model!$G$23</f>
        <v>0</v>
      </c>
      <c r="S29" s="293">
        <f>Model!U526/Model!$G$23</f>
        <v>0</v>
      </c>
      <c r="T29" s="292"/>
      <c r="U29" s="292"/>
      <c r="V29" s="317"/>
      <c r="W29" s="293">
        <f>SUMIFS(F29:T29, F$4:T$4, W$4)</f>
        <v>-14.829267908400556</v>
      </c>
      <c r="X29" s="314"/>
    </row>
    <row r="30" spans="3:24" ht="5.0999999999999996" customHeight="1" x14ac:dyDescent="0.2">
      <c r="V30" s="313"/>
      <c r="X30" s="314"/>
    </row>
    <row r="31" spans="3:24" x14ac:dyDescent="0.2">
      <c r="C31" s="20" t="s">
        <v>12</v>
      </c>
      <c r="D31" s="124"/>
      <c r="E31" s="124"/>
      <c r="F31" s="124"/>
      <c r="G31" s="125">
        <f>Model!I528/Model!$G$23</f>
        <v>0</v>
      </c>
      <c r="H31" s="125">
        <f>Model!J528/Model!$G$23</f>
        <v>-4.6958664375000003</v>
      </c>
      <c r="I31" s="125">
        <f>Model!K528/Model!$G$23</f>
        <v>-9.6058129230000002</v>
      </c>
      <c r="J31" s="125">
        <f>Model!L528/Model!$G$23</f>
        <v>-9.7711588831500009</v>
      </c>
      <c r="K31" s="125">
        <f>Model!M528/Model!$G$23</f>
        <v>-9.9665820608129998</v>
      </c>
      <c r="L31" s="125">
        <f>Model!N528/Model!$G$23</f>
        <v>-10.165913702029261</v>
      </c>
      <c r="M31" s="125">
        <f>Model!O528/Model!$G$23</f>
        <v>-10.397640830798805</v>
      </c>
      <c r="N31" s="125">
        <f>Model!P528/Model!$G$23</f>
        <v>-10.576616615591243</v>
      </c>
      <c r="O31" s="125">
        <f>Model!Q528/Model!$G$23</f>
        <v>-10.788148947903069</v>
      </c>
      <c r="P31" s="125">
        <f>Model!R528/Model!$G$23</f>
        <v>-11.003911926861131</v>
      </c>
      <c r="Q31" s="125">
        <f>Model!S528/Model!$G$23</f>
        <v>0</v>
      </c>
      <c r="R31" s="125">
        <f>Model!T528/Model!$G$23</f>
        <v>0</v>
      </c>
      <c r="S31" s="125">
        <f>Model!U528/Model!$G$23</f>
        <v>0</v>
      </c>
      <c r="T31" s="263"/>
      <c r="U31" s="263"/>
      <c r="V31" s="320"/>
      <c r="W31" s="125">
        <f>SUMIFS(F31:T31, F$4:T$4, W$4)</f>
        <v>-86.971652327646524</v>
      </c>
      <c r="X31" s="314"/>
    </row>
    <row r="32" spans="3:24" x14ac:dyDescent="0.2">
      <c r="V32" s="313"/>
      <c r="X32" s="314"/>
    </row>
    <row r="33" spans="3:24" x14ac:dyDescent="0.2">
      <c r="C33" s="5" t="s">
        <v>11</v>
      </c>
      <c r="D33" s="6"/>
      <c r="E33" s="6"/>
      <c r="F33" s="6"/>
      <c r="G33" s="16">
        <f t="shared" ref="G33:R33" si="0">SUM(G23, G31)</f>
        <v>0</v>
      </c>
      <c r="H33" s="16">
        <f t="shared" si="0"/>
        <v>6.9896998125000005</v>
      </c>
      <c r="I33" s="16">
        <f t="shared" si="0"/>
        <v>14.298053337000001</v>
      </c>
      <c r="J33" s="16">
        <f t="shared" si="0"/>
        <v>14.544167369850001</v>
      </c>
      <c r="K33" s="16">
        <f t="shared" si="0"/>
        <v>14.835050717247</v>
      </c>
      <c r="L33" s="16">
        <f t="shared" si="0"/>
        <v>15.13175173159194</v>
      </c>
      <c r="M33" s="16">
        <f t="shared" si="0"/>
        <v>15.476672757364112</v>
      </c>
      <c r="N33" s="16">
        <f t="shared" si="0"/>
        <v>15.743074501548252</v>
      </c>
      <c r="O33" s="16">
        <f t="shared" si="0"/>
        <v>16.057935991579214</v>
      </c>
      <c r="P33" s="16">
        <f t="shared" si="0"/>
        <v>16.379094711410801</v>
      </c>
      <c r="Q33" s="16">
        <f t="shared" si="0"/>
        <v>0</v>
      </c>
      <c r="R33" s="16">
        <f t="shared" si="0"/>
        <v>0</v>
      </c>
      <c r="S33" s="16">
        <f t="shared" ref="S33" si="1">SUM(S23, S31)</f>
        <v>0</v>
      </c>
      <c r="T33" s="16"/>
      <c r="U33" s="16"/>
      <c r="V33" s="321"/>
      <c r="W33" s="330">
        <f>SUMIFS(F33:T33, F$4:T$4, W$4)</f>
        <v>129.45550093009132</v>
      </c>
      <c r="X33" s="314"/>
    </row>
    <row r="34" spans="3:24" x14ac:dyDescent="0.2">
      <c r="V34" s="313"/>
      <c r="X34" s="314"/>
    </row>
    <row r="35" spans="3:24" x14ac:dyDescent="0.2">
      <c r="C35" s="2" t="s">
        <v>176</v>
      </c>
      <c r="V35" s="313"/>
      <c r="X35" s="314"/>
    </row>
    <row r="36" spans="3:24" ht="5.0999999999999996" customHeight="1" x14ac:dyDescent="0.2">
      <c r="V36" s="313"/>
      <c r="X36" s="314"/>
    </row>
    <row r="37" spans="3:24" x14ac:dyDescent="0.2">
      <c r="C37" s="283" t="s">
        <v>194</v>
      </c>
      <c r="D37" s="283"/>
      <c r="E37" s="283"/>
      <c r="F37" s="283"/>
      <c r="G37" s="296">
        <f>Model!I534/Model!$G$23</f>
        <v>0</v>
      </c>
      <c r="H37" s="296">
        <f>Model!J534/Model!$G$23</f>
        <v>-0.61933501125000001</v>
      </c>
      <c r="I37" s="296">
        <f>Model!K534/Model!$G$23</f>
        <v>-1.26690491178</v>
      </c>
      <c r="J37" s="296">
        <f>Model!L534/Model!$G$23</f>
        <v>-1.2887122914090001</v>
      </c>
      <c r="K37" s="296">
        <f>Model!M534/Model!$G$23</f>
        <v>-1.3144865372371799</v>
      </c>
      <c r="L37" s="296">
        <f>Model!N534/Model!$G$23</f>
        <v>-1.3407762679819237</v>
      </c>
      <c r="M37" s="296">
        <f>Model!O534/Model!$G$23</f>
        <v>-1.3713386201726345</v>
      </c>
      <c r="N37" s="296">
        <f>Model!P534/Model!$G$23</f>
        <v>-1.3949436292083932</v>
      </c>
      <c r="O37" s="296">
        <f>Model!Q534/Model!$G$23</f>
        <v>-1.4228425017925612</v>
      </c>
      <c r="P37" s="296">
        <f>Model!R534/Model!$G$23</f>
        <v>-1.4512993518284123</v>
      </c>
      <c r="Q37" s="296">
        <f>Model!S534/Model!$G$23</f>
        <v>0</v>
      </c>
      <c r="R37" s="296">
        <f>Model!T534/Model!$G$23</f>
        <v>0</v>
      </c>
      <c r="S37" s="296">
        <f>Model!U534/Model!$G$23</f>
        <v>0</v>
      </c>
      <c r="T37" s="297"/>
      <c r="U37" s="297"/>
      <c r="V37" s="315"/>
      <c r="W37" s="296">
        <f>SUMIFS(F37:T37, F$4:T$4, W$4)</f>
        <v>-11.470639122660105</v>
      </c>
      <c r="X37" s="314"/>
    </row>
    <row r="38" spans="3:24" x14ac:dyDescent="0.2">
      <c r="C38" s="288" t="s">
        <v>13</v>
      </c>
      <c r="D38" s="288"/>
      <c r="E38" s="288"/>
      <c r="F38" s="288"/>
      <c r="G38" s="291">
        <f>Model!I535/Model!$G$23</f>
        <v>0</v>
      </c>
      <c r="H38" s="291">
        <f>Model!J535/Model!$G$23</f>
        <v>-0.57259274625000001</v>
      </c>
      <c r="I38" s="291">
        <f>Model!K535/Model!$G$23</f>
        <v>-1.1712894467400001</v>
      </c>
      <c r="J38" s="291">
        <f>Model!L535/Model!$G$23</f>
        <v>-1.1914509863970002</v>
      </c>
      <c r="K38" s="291">
        <f>Model!M535/Model!$G$23</f>
        <v>-1.21528000612494</v>
      </c>
      <c r="L38" s="291">
        <f>Model!N535/Model!$G$23</f>
        <v>-1.2395856062474389</v>
      </c>
      <c r="M38" s="291">
        <f>Model!O535/Model!$G$23</f>
        <v>-1.267841365819983</v>
      </c>
      <c r="N38" s="291">
        <f>Model!P535/Model!$G$23</f>
        <v>-1.2896648647398352</v>
      </c>
      <c r="O38" s="291">
        <f>Model!Q535/Model!$G$23</f>
        <v>-1.3154581620346322</v>
      </c>
      <c r="P38" s="291">
        <f>Model!R535/Model!$G$23</f>
        <v>-1.3417673252753248</v>
      </c>
      <c r="Q38" s="291">
        <f>Model!S535/Model!$G$23</f>
        <v>0</v>
      </c>
      <c r="R38" s="291">
        <f>Model!T535/Model!$G$23</f>
        <v>0</v>
      </c>
      <c r="S38" s="291">
        <f>Model!U535/Model!$G$23</f>
        <v>0</v>
      </c>
      <c r="T38" s="289"/>
      <c r="U38" s="289"/>
      <c r="V38" s="316"/>
      <c r="W38" s="291">
        <f>SUMIFS(F38:T38, F$4:T$4, W$4)</f>
        <v>-10.604930509629153</v>
      </c>
      <c r="X38" s="314"/>
    </row>
    <row r="39" spans="3:24" x14ac:dyDescent="0.2">
      <c r="C39" s="288" t="s">
        <v>14</v>
      </c>
      <c r="D39" s="288"/>
      <c r="E39" s="288"/>
      <c r="F39" s="288"/>
      <c r="G39" s="291">
        <f>Model!I536/Model!$G$23</f>
        <v>0</v>
      </c>
      <c r="H39" s="291">
        <f>Model!J536/Model!$G$23</f>
        <v>-0.58427831249999995</v>
      </c>
      <c r="I39" s="291">
        <f>Model!K536/Model!$G$23</f>
        <v>-1.1951933130000001</v>
      </c>
      <c r="J39" s="291">
        <f>Model!L536/Model!$G$23</f>
        <v>-1.2157663126500002</v>
      </c>
      <c r="K39" s="291">
        <f>Model!M536/Model!$G$23</f>
        <v>-1.240081638903</v>
      </c>
      <c r="L39" s="291">
        <f>Model!N536/Model!$G$23</f>
        <v>-1.2648832716810601</v>
      </c>
      <c r="M39" s="291">
        <f>Model!O536/Model!$G$23</f>
        <v>-1.2937156794081461</v>
      </c>
      <c r="N39" s="291">
        <f>Model!P536/Model!$G$23</f>
        <v>-1.3159845558569747</v>
      </c>
      <c r="O39" s="291">
        <f>Model!Q536/Model!$G$23</f>
        <v>-1.3423042469741144</v>
      </c>
      <c r="P39" s="291">
        <f>Model!R536/Model!$G$23</f>
        <v>-1.3691503319135967</v>
      </c>
      <c r="Q39" s="291">
        <f>Model!S536/Model!$G$23</f>
        <v>0</v>
      </c>
      <c r="R39" s="291">
        <f>Model!T536/Model!$G$23</f>
        <v>0</v>
      </c>
      <c r="S39" s="291">
        <f>Model!U536/Model!$G$23</f>
        <v>0</v>
      </c>
      <c r="T39" s="289"/>
      <c r="U39" s="289"/>
      <c r="V39" s="316"/>
      <c r="W39" s="291">
        <f t="shared" ref="W39:W41" si="2">SUMIFS(F39:T39, F$4:T$4, W$4)</f>
        <v>-10.821357662886893</v>
      </c>
      <c r="X39" s="314"/>
    </row>
    <row r="40" spans="3:24" x14ac:dyDescent="0.2">
      <c r="C40" s="288" t="s">
        <v>15</v>
      </c>
      <c r="D40" s="288"/>
      <c r="E40" s="288"/>
      <c r="F40" s="288"/>
      <c r="G40" s="291">
        <f>Model!I537/Model!$G$23</f>
        <v>0</v>
      </c>
      <c r="H40" s="291">
        <f>Model!J537/Model!$G$23</f>
        <v>-0.64270614375000001</v>
      </c>
      <c r="I40" s="291">
        <f>Model!K537/Model!$G$23</f>
        <v>-1.3147126443000001</v>
      </c>
      <c r="J40" s="291">
        <f>Model!L537/Model!$G$23</f>
        <v>-1.3373429439150002</v>
      </c>
      <c r="K40" s="291">
        <f>Model!M537/Model!$G$23</f>
        <v>-1.3640898027932999</v>
      </c>
      <c r="L40" s="291">
        <f>Model!N537/Model!$G$23</f>
        <v>-1.3913715988491662</v>
      </c>
      <c r="M40" s="291">
        <f>Model!O537/Model!$G$23</f>
        <v>-1.4230872473489604</v>
      </c>
      <c r="N40" s="291">
        <f>Model!P537/Model!$G$23</f>
        <v>-1.4475830114426722</v>
      </c>
      <c r="O40" s="291">
        <f>Model!Q537/Model!$G$23</f>
        <v>-1.4765346716715257</v>
      </c>
      <c r="P40" s="291">
        <f>Model!R537/Model!$G$23</f>
        <v>-1.5060653651049563</v>
      </c>
      <c r="Q40" s="291">
        <f>Model!S537/Model!$G$23</f>
        <v>0</v>
      </c>
      <c r="R40" s="291">
        <f>Model!T537/Model!$G$23</f>
        <v>0</v>
      </c>
      <c r="S40" s="291">
        <f>Model!U537/Model!$G$23</f>
        <v>0</v>
      </c>
      <c r="T40" s="289"/>
      <c r="U40" s="289"/>
      <c r="V40" s="316"/>
      <c r="W40" s="291">
        <f t="shared" si="2"/>
        <v>-11.903493429175581</v>
      </c>
      <c r="X40" s="314"/>
    </row>
    <row r="41" spans="3:24" x14ac:dyDescent="0.2">
      <c r="C41" s="288" t="s">
        <v>3</v>
      </c>
      <c r="D41" s="288"/>
      <c r="E41" s="288"/>
      <c r="F41" s="288"/>
      <c r="G41" s="291">
        <f>Model!I538/Model!$G$23</f>
        <v>0</v>
      </c>
      <c r="H41" s="291">
        <f>Model!J538/Model!$G$23</f>
        <v>-0.302959125</v>
      </c>
      <c r="I41" s="291">
        <f>Model!K538/Model!$G$23</f>
        <v>-0.61972986600000002</v>
      </c>
      <c r="J41" s="291">
        <f>Model!L538/Model!$G$23</f>
        <v>-0.63039734730000008</v>
      </c>
      <c r="K41" s="291">
        <f>Model!M538/Model!$G$23</f>
        <v>-0.64300529424600017</v>
      </c>
      <c r="L41" s="291">
        <f>Model!N538/Model!$G$23</f>
        <v>-0.6558654001309201</v>
      </c>
      <c r="M41" s="291">
        <f>Model!O538/Model!$G$23</f>
        <v>-0.67081553747089084</v>
      </c>
      <c r="N41" s="291">
        <f>Model!P538/Model!$G$23</f>
        <v>-0.68236236229620928</v>
      </c>
      <c r="O41" s="291">
        <f>Model!Q538/Model!$G$23</f>
        <v>-0.69600960954213353</v>
      </c>
      <c r="P41" s="291">
        <f>Model!R538/Model!$G$23</f>
        <v>-0.70992980173297626</v>
      </c>
      <c r="Q41" s="291">
        <f>Model!S538/Model!$G$23</f>
        <v>0</v>
      </c>
      <c r="R41" s="291">
        <f>Model!T538/Model!$G$23</f>
        <v>0</v>
      </c>
      <c r="S41" s="291">
        <f>Model!U538/Model!$G$23</f>
        <v>0</v>
      </c>
      <c r="T41" s="289"/>
      <c r="U41" s="289"/>
      <c r="V41" s="316"/>
      <c r="W41" s="291">
        <f t="shared" si="2"/>
        <v>-5.6110743437191299</v>
      </c>
      <c r="X41" s="314"/>
    </row>
    <row r="42" spans="3:24" x14ac:dyDescent="0.2">
      <c r="C42" s="292" t="s">
        <v>8</v>
      </c>
      <c r="D42" s="292"/>
      <c r="E42" s="292"/>
      <c r="F42" s="292"/>
      <c r="G42" s="293">
        <f>Model!I540/Model!$G$23</f>
        <v>0</v>
      </c>
      <c r="H42" s="293">
        <f>Model!J540/Model!$G$23</f>
        <v>-0.35056698749999998</v>
      </c>
      <c r="I42" s="293">
        <f>Model!K540/Model!$G$23</f>
        <v>-0.71711598779999997</v>
      </c>
      <c r="J42" s="293">
        <f>Model!L540/Model!$G$23</f>
        <v>-0.72945978759000007</v>
      </c>
      <c r="K42" s="293">
        <f>Model!M540/Model!$G$23</f>
        <v>-0.74404898334179992</v>
      </c>
      <c r="L42" s="293">
        <f>Model!N540/Model!$G$23</f>
        <v>-0.75892996300863602</v>
      </c>
      <c r="M42" s="293">
        <f>Model!O540/Model!$G$23</f>
        <v>-0.77622940764488746</v>
      </c>
      <c r="N42" s="293">
        <f>Model!P540/Model!$G$23</f>
        <v>-0.78959073351418485</v>
      </c>
      <c r="O42" s="293">
        <f>Model!Q540/Model!$G$23</f>
        <v>-0.80538254818446853</v>
      </c>
      <c r="P42" s="293">
        <f>Model!R540/Model!$G$23</f>
        <v>-0.82149019914815791</v>
      </c>
      <c r="Q42" s="293">
        <f>Model!S540/Model!$G$23</f>
        <v>0</v>
      </c>
      <c r="R42" s="293">
        <f>Model!T540/Model!$G$23</f>
        <v>0</v>
      </c>
      <c r="S42" s="293">
        <f>Model!U540/Model!$G$23</f>
        <v>0</v>
      </c>
      <c r="T42" s="294"/>
      <c r="U42" s="294"/>
      <c r="V42" s="317"/>
      <c r="W42" s="293">
        <f>SUMIFS(F42:T42, F$4:T$4, W$4)</f>
        <v>-6.492814597732135</v>
      </c>
      <c r="X42" s="314"/>
    </row>
    <row r="43" spans="3:24" ht="5.0999999999999996" customHeight="1" x14ac:dyDescent="0.2">
      <c r="V43" s="313"/>
      <c r="X43" s="314"/>
    </row>
    <row r="44" spans="3:24" x14ac:dyDescent="0.2">
      <c r="C44" s="20" t="s">
        <v>177</v>
      </c>
      <c r="D44" s="20"/>
      <c r="E44" s="20"/>
      <c r="F44" s="20"/>
      <c r="G44" s="125">
        <f>Model!I542/Model!$G$23</f>
        <v>0</v>
      </c>
      <c r="H44" s="125">
        <f>Model!J542/Model!$G$23</f>
        <v>-3.4522192293750003</v>
      </c>
      <c r="I44" s="125">
        <f>Model!K542/Model!$G$23</f>
        <v>-7.0618218230700007</v>
      </c>
      <c r="J44" s="125">
        <f>Model!L542/Model!$G$23</f>
        <v>-7.1833777724835004</v>
      </c>
      <c r="K44" s="125">
        <f>Model!M542/Model!$G$23</f>
        <v>-7.3270453279331704</v>
      </c>
      <c r="L44" s="125">
        <f>Model!N542/Model!$G$23</f>
        <v>-7.4735862344918331</v>
      </c>
      <c r="M44" s="125">
        <f>Model!O542/Model!$G$23</f>
        <v>-7.6439430494807974</v>
      </c>
      <c r="N44" s="125">
        <f>Model!P542/Model!$G$23</f>
        <v>-7.7755191183653043</v>
      </c>
      <c r="O44" s="125">
        <f>Model!Q542/Model!$G$23</f>
        <v>-7.9310295007326097</v>
      </c>
      <c r="P44" s="125">
        <f>Model!R542/Model!$G$23</f>
        <v>-8.0896500907472628</v>
      </c>
      <c r="Q44" s="125">
        <f>Model!S542/Model!$G$23</f>
        <v>0</v>
      </c>
      <c r="R44" s="125">
        <f>Model!T542/Model!$G$23</f>
        <v>0</v>
      </c>
      <c r="S44" s="125">
        <f>Model!U542/Model!$G$23</f>
        <v>0</v>
      </c>
      <c r="T44" s="263"/>
      <c r="U44" s="263"/>
      <c r="V44" s="318"/>
      <c r="W44" s="125">
        <f>SUMIFS(F44:T44, F$4:T$4, W$4)</f>
        <v>-63.938192146679476</v>
      </c>
      <c r="X44" s="319"/>
    </row>
    <row r="45" spans="3:24" x14ac:dyDescent="0.2">
      <c r="V45" s="313"/>
      <c r="X45" s="314"/>
    </row>
    <row r="46" spans="3:24" x14ac:dyDescent="0.2">
      <c r="C46" s="2" t="s">
        <v>179</v>
      </c>
      <c r="V46" s="313"/>
      <c r="X46" s="314"/>
    </row>
    <row r="47" spans="3:24" ht="5.0999999999999996" customHeight="1" x14ac:dyDescent="0.2">
      <c r="V47" s="313"/>
      <c r="X47" s="314"/>
    </row>
    <row r="48" spans="3:24" x14ac:dyDescent="0.2">
      <c r="C48" s="283" t="s">
        <v>2</v>
      </c>
      <c r="D48" s="283"/>
      <c r="E48" s="283"/>
      <c r="F48" s="283"/>
      <c r="G48" s="296">
        <f>Model!I546/Model!$G$23</f>
        <v>0</v>
      </c>
      <c r="H48" s="296">
        <f>Model!J546/Model!$G$23</f>
        <v>-0.22950000000000001</v>
      </c>
      <c r="I48" s="296">
        <f>Model!K546/Model!$G$23</f>
        <v>-0.46818000000000004</v>
      </c>
      <c r="J48" s="296">
        <f>Model!L546/Model!$G$23</f>
        <v>-0.47754360000000001</v>
      </c>
      <c r="K48" s="296">
        <f>Model!M546/Model!$G$23</f>
        <v>-0.48709447200000006</v>
      </c>
      <c r="L48" s="296">
        <f>Model!N546/Model!$G$23</f>
        <v>-0.49683636144000004</v>
      </c>
      <c r="M48" s="296">
        <f>Model!O546/Model!$G$23</f>
        <v>-0.50677308866880011</v>
      </c>
      <c r="N48" s="296">
        <f>Model!P546/Model!$G$23</f>
        <v>-0.5169085504421761</v>
      </c>
      <c r="O48" s="296">
        <f>Model!Q546/Model!$G$23</f>
        <v>-0.52724672145101958</v>
      </c>
      <c r="P48" s="296">
        <f>Model!R546/Model!$G$23</f>
        <v>-0.53779165588004008</v>
      </c>
      <c r="Q48" s="296">
        <f>Model!S546/Model!$G$23</f>
        <v>0</v>
      </c>
      <c r="R48" s="296">
        <f>Model!T546/Model!$G$23</f>
        <v>0</v>
      </c>
      <c r="S48" s="296">
        <f>Model!U546/Model!$G$23</f>
        <v>0</v>
      </c>
      <c r="T48" s="297"/>
      <c r="U48" s="297"/>
      <c r="V48" s="315"/>
      <c r="W48" s="296">
        <f>SUMIFS(F48:T48, F$4:T$4, W$4)</f>
        <v>-4.2478744498820369</v>
      </c>
      <c r="X48" s="314"/>
    </row>
    <row r="49" spans="3:24" x14ac:dyDescent="0.2">
      <c r="C49" s="288" t="s">
        <v>1</v>
      </c>
      <c r="D49" s="288"/>
      <c r="E49" s="288"/>
      <c r="F49" s="288"/>
      <c r="G49" s="291">
        <f>Model!I547/Model!$G$23</f>
        <v>0</v>
      </c>
      <c r="H49" s="291">
        <f>Model!J547/Model!$G$23</f>
        <v>-7.6499999999999997E-3</v>
      </c>
      <c r="I49" s="291">
        <f>Model!K547/Model!$G$23</f>
        <v>-1.5606000000000002E-2</v>
      </c>
      <c r="J49" s="291">
        <f>Model!L547/Model!$G$23</f>
        <v>-1.5918120000000001E-2</v>
      </c>
      <c r="K49" s="291">
        <f>Model!M547/Model!$G$23</f>
        <v>-1.6236482400000002E-2</v>
      </c>
      <c r="L49" s="291">
        <f>Model!N547/Model!$G$23</f>
        <v>-1.6561212048000002E-2</v>
      </c>
      <c r="M49" s="291">
        <f>Model!O547/Model!$G$23</f>
        <v>-1.6892436288960002E-2</v>
      </c>
      <c r="N49" s="291">
        <f>Model!P547/Model!$G$23</f>
        <v>-1.7230285014739201E-2</v>
      </c>
      <c r="O49" s="291">
        <f>Model!Q547/Model!$G$23</f>
        <v>-1.7574890715033983E-2</v>
      </c>
      <c r="P49" s="291">
        <f>Model!R547/Model!$G$23</f>
        <v>-1.7926388529334664E-2</v>
      </c>
      <c r="Q49" s="291">
        <f>Model!S547/Model!$G$23</f>
        <v>0</v>
      </c>
      <c r="R49" s="291">
        <f>Model!T547/Model!$G$23</f>
        <v>0</v>
      </c>
      <c r="S49" s="291">
        <f>Model!U547/Model!$G$23</f>
        <v>0</v>
      </c>
      <c r="T49" s="289"/>
      <c r="U49" s="289"/>
      <c r="V49" s="316"/>
      <c r="W49" s="291">
        <f>SUMIFS(F49:T49, F$4:T$4, W$4)</f>
        <v>-0.14159581499606788</v>
      </c>
      <c r="X49" s="314"/>
    </row>
    <row r="50" spans="3:24" x14ac:dyDescent="0.2">
      <c r="C50" s="288" t="s">
        <v>17</v>
      </c>
      <c r="D50" s="288"/>
      <c r="E50" s="288"/>
      <c r="F50" s="288"/>
      <c r="G50" s="291">
        <f>Model!I548/Model!$G$23</f>
        <v>0</v>
      </c>
      <c r="H50" s="291">
        <f>Model!J548/Model!$G$23</f>
        <v>-0.30599999999999999</v>
      </c>
      <c r="I50" s="291">
        <f>Model!K548/Model!$G$23</f>
        <v>-0.62424000000000002</v>
      </c>
      <c r="J50" s="291">
        <f>Model!L548/Model!$G$23</f>
        <v>-0.63672480000000009</v>
      </c>
      <c r="K50" s="291">
        <f>Model!M548/Model!$G$23</f>
        <v>-0.64945929600000007</v>
      </c>
      <c r="L50" s="291">
        <f>Model!N548/Model!$G$23</f>
        <v>-0.66244848192000005</v>
      </c>
      <c r="M50" s="291">
        <f>Model!O548/Model!$G$23</f>
        <v>-0.6756974515584</v>
      </c>
      <c r="N50" s="291">
        <f>Model!P548/Model!$G$23</f>
        <v>-0.68921140058956809</v>
      </c>
      <c r="O50" s="291">
        <f>Model!Q548/Model!$G$23</f>
        <v>-0.70299562860135945</v>
      </c>
      <c r="P50" s="291">
        <f>Model!R548/Model!$G$23</f>
        <v>-0.71705554117338666</v>
      </c>
      <c r="Q50" s="291">
        <f>Model!S548/Model!$G$23</f>
        <v>0</v>
      </c>
      <c r="R50" s="291">
        <f>Model!T548/Model!$G$23</f>
        <v>0</v>
      </c>
      <c r="S50" s="291">
        <f>Model!U548/Model!$G$23</f>
        <v>0</v>
      </c>
      <c r="T50" s="289"/>
      <c r="U50" s="289"/>
      <c r="V50" s="316"/>
      <c r="W50" s="291">
        <f t="shared" ref="W50:W51" si="3">SUMIFS(F50:T50, F$4:T$4, W$4)</f>
        <v>-5.6638325998427144</v>
      </c>
      <c r="X50" s="314"/>
    </row>
    <row r="51" spans="3:24" x14ac:dyDescent="0.2">
      <c r="C51" s="288" t="s">
        <v>18</v>
      </c>
      <c r="D51" s="288"/>
      <c r="E51" s="288"/>
      <c r="F51" s="288"/>
      <c r="G51" s="291">
        <f>Model!I539/Model!$G$23</f>
        <v>0</v>
      </c>
      <c r="H51" s="291">
        <f>Model!J539/Model!$G$23</f>
        <v>-0.37978090312500001</v>
      </c>
      <c r="I51" s="291">
        <f>Model!K539/Model!$G$23</f>
        <v>-0.77687565345000009</v>
      </c>
      <c r="J51" s="291">
        <f>Model!L539/Model!$G$23</f>
        <v>-0.79024810322250005</v>
      </c>
      <c r="K51" s="291">
        <f>Model!M539/Model!$G$23</f>
        <v>-0.80605306528695009</v>
      </c>
      <c r="L51" s="291">
        <f>Model!N539/Model!$G$23</f>
        <v>-0.82217412659268907</v>
      </c>
      <c r="M51" s="291">
        <f>Model!O539/Model!$G$23</f>
        <v>-0.84091519161529493</v>
      </c>
      <c r="N51" s="291">
        <f>Model!P539/Model!$G$23</f>
        <v>-0.85538996130703371</v>
      </c>
      <c r="O51" s="291">
        <f>Model!Q539/Model!$G$23</f>
        <v>-0.8724977605331744</v>
      </c>
      <c r="P51" s="291">
        <f>Model!R539/Model!$G$23</f>
        <v>-0.8899477157438378</v>
      </c>
      <c r="Q51" s="291">
        <f>Model!S539/Model!$G$23</f>
        <v>0</v>
      </c>
      <c r="R51" s="291">
        <f>Model!T539/Model!$G$23</f>
        <v>0</v>
      </c>
      <c r="S51" s="291">
        <f>Model!U539/Model!$G$23</f>
        <v>0</v>
      </c>
      <c r="T51" s="289"/>
      <c r="U51" s="289"/>
      <c r="V51" s="316"/>
      <c r="W51" s="291">
        <f t="shared" si="3"/>
        <v>-7.0338824808764802</v>
      </c>
      <c r="X51" s="314"/>
    </row>
    <row r="52" spans="3:24" x14ac:dyDescent="0.2">
      <c r="C52" s="292" t="s">
        <v>16</v>
      </c>
      <c r="D52" s="292"/>
      <c r="E52" s="292"/>
      <c r="F52" s="292"/>
      <c r="G52" s="293">
        <f>Model!I549/Model!$G$23</f>
        <v>0</v>
      </c>
      <c r="H52" s="293">
        <f>Model!J549/Model!$G$23</f>
        <v>0</v>
      </c>
      <c r="I52" s="293">
        <f>Model!K549/Model!$G$23</f>
        <v>0</v>
      </c>
      <c r="J52" s="293">
        <f>Model!L549/Model!$G$23</f>
        <v>0</v>
      </c>
      <c r="K52" s="293">
        <f>Model!M549/Model!$G$23</f>
        <v>0</v>
      </c>
      <c r="L52" s="293">
        <f>Model!N549/Model!$G$23</f>
        <v>0</v>
      </c>
      <c r="M52" s="293">
        <f>Model!O549/Model!$G$23</f>
        <v>0</v>
      </c>
      <c r="N52" s="293">
        <f>Model!P549/Model!$G$23</f>
        <v>0</v>
      </c>
      <c r="O52" s="293">
        <f>Model!Q549/Model!$G$23</f>
        <v>0</v>
      </c>
      <c r="P52" s="293">
        <f>Model!R549/Model!$G$23</f>
        <v>0</v>
      </c>
      <c r="Q52" s="293">
        <f>Model!S549/Model!$G$23</f>
        <v>0</v>
      </c>
      <c r="R52" s="293">
        <f>Model!T549/Model!$G$23</f>
        <v>0</v>
      </c>
      <c r="S52" s="293">
        <f>Model!U549/Model!$G$23</f>
        <v>0</v>
      </c>
      <c r="T52" s="294"/>
      <c r="U52" s="294"/>
      <c r="V52" s="317"/>
      <c r="W52" s="293">
        <f>SUMIFS(F52:T52, F$4:T$4, W$4)</f>
        <v>0</v>
      </c>
      <c r="X52" s="314"/>
    </row>
    <row r="53" spans="3:24" ht="5.0999999999999996" customHeight="1" x14ac:dyDescent="0.2"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32"/>
      <c r="U53" s="132"/>
      <c r="V53" s="313"/>
      <c r="W53" s="127"/>
      <c r="X53" s="314"/>
    </row>
    <row r="54" spans="3:24" x14ac:dyDescent="0.2">
      <c r="C54" s="20" t="s">
        <v>180</v>
      </c>
      <c r="D54" s="20"/>
      <c r="E54" s="20"/>
      <c r="F54" s="20"/>
      <c r="G54" s="125">
        <f>Model!I550/Model!$G$23</f>
        <v>0</v>
      </c>
      <c r="H54" s="125">
        <f>Model!J550/Model!$G$23</f>
        <v>-0.54315000000000002</v>
      </c>
      <c r="I54" s="125">
        <f>Model!K550/Model!$G$23</f>
        <v>-1.108026</v>
      </c>
      <c r="J54" s="125">
        <f>Model!L550/Model!$G$23</f>
        <v>-1.1301865200000001</v>
      </c>
      <c r="K54" s="125">
        <f>Model!M550/Model!$G$23</f>
        <v>-1.1527902504000003</v>
      </c>
      <c r="L54" s="125">
        <f>Model!N550/Model!$G$23</f>
        <v>-1.1758460554079999</v>
      </c>
      <c r="M54" s="125">
        <f>Model!O550/Model!$G$23</f>
        <v>-1.19936297651616</v>
      </c>
      <c r="N54" s="125">
        <f>Model!P550/Model!$G$23</f>
        <v>-1.2233502360464832</v>
      </c>
      <c r="O54" s="125">
        <f>Model!Q550/Model!$G$23</f>
        <v>-1.2478172407674131</v>
      </c>
      <c r="P54" s="125">
        <f>Model!R550/Model!$G$23</f>
        <v>-1.2727735855827613</v>
      </c>
      <c r="Q54" s="125">
        <f>Model!S550/Model!$G$23</f>
        <v>0</v>
      </c>
      <c r="R54" s="125">
        <f>Model!T550/Model!$G$23</f>
        <v>0</v>
      </c>
      <c r="S54" s="125">
        <f>Model!U550/Model!$G$23</f>
        <v>0</v>
      </c>
      <c r="T54" s="263"/>
      <c r="U54" s="263"/>
      <c r="V54" s="318"/>
      <c r="W54" s="125">
        <f>SUMIFS(F54:T54, F$4:T$4, W$4)</f>
        <v>-10.053302864720818</v>
      </c>
      <c r="X54" s="319"/>
    </row>
    <row r="55" spans="3:24" x14ac:dyDescent="0.2">
      <c r="V55" s="313"/>
      <c r="X55" s="314"/>
    </row>
    <row r="56" spans="3:24" x14ac:dyDescent="0.2">
      <c r="C56" s="264" t="s">
        <v>5</v>
      </c>
      <c r="D56" s="264"/>
      <c r="E56" s="264"/>
      <c r="F56" s="265"/>
      <c r="G56" s="265">
        <f>Model!I552/Model!$G$23</f>
        <v>0</v>
      </c>
      <c r="H56" s="265">
        <f>Model!J552/Model!$G$23</f>
        <v>2.994330583125</v>
      </c>
      <c r="I56" s="265">
        <f>Model!K552/Model!$G$23</f>
        <v>6.1282055139300002</v>
      </c>
      <c r="J56" s="265">
        <f>Model!L552/Model!$G$23</f>
        <v>6.2306030773665011</v>
      </c>
      <c r="K56" s="265">
        <f>Model!M552/Model!$G$23</f>
        <v>6.3552151389138292</v>
      </c>
      <c r="L56" s="265">
        <f>Model!N552/Model!$G$23</f>
        <v>6.4823194416921064</v>
      </c>
      <c r="M56" s="265">
        <f>Model!O552/Model!$G$23</f>
        <v>6.6333667313671549</v>
      </c>
      <c r="N56" s="265">
        <f>Model!P552/Model!$G$23</f>
        <v>6.7442051471364648</v>
      </c>
      <c r="O56" s="265">
        <f>Model!Q552/Model!$G$23</f>
        <v>6.8790892500791951</v>
      </c>
      <c r="P56" s="265">
        <f>Model!R552/Model!$G$23</f>
        <v>7.0166710350807788</v>
      </c>
      <c r="Q56" s="265">
        <f>Model!S552/Model!$G$23</f>
        <v>0</v>
      </c>
      <c r="R56" s="265">
        <f>Model!T552/Model!$G$23</f>
        <v>0</v>
      </c>
      <c r="S56" s="265">
        <f>Model!U552/Model!$G$23</f>
        <v>0</v>
      </c>
      <c r="T56" s="265"/>
      <c r="U56" s="265"/>
      <c r="V56" s="322"/>
      <c r="W56" s="330">
        <f>SUMIFS(F56:T56, F$4:T$4, W$4)</f>
        <v>55.464005918691029</v>
      </c>
      <c r="X56" s="323"/>
    </row>
    <row r="57" spans="3:24" x14ac:dyDescent="0.2">
      <c r="V57" s="313"/>
      <c r="X57" s="314"/>
    </row>
    <row r="58" spans="3:24" x14ac:dyDescent="0.2">
      <c r="C58" s="2" t="s">
        <v>45</v>
      </c>
      <c r="V58" s="313"/>
      <c r="X58" s="314"/>
    </row>
    <row r="59" spans="3:24" ht="5.0999999999999996" customHeight="1" x14ac:dyDescent="0.2">
      <c r="V59" s="313"/>
      <c r="X59" s="314"/>
    </row>
    <row r="60" spans="3:24" x14ac:dyDescent="0.2">
      <c r="C60" s="283" t="s">
        <v>152</v>
      </c>
      <c r="D60" s="283"/>
      <c r="E60" s="283"/>
      <c r="F60" s="283"/>
      <c r="G60" s="296">
        <f ca="1">SUM(Model!I559, Model!I560)/Model!$G$23</f>
        <v>-45.429000000000002</v>
      </c>
      <c r="H60" s="296">
        <f ca="1">SUM(Model!J559, Model!J560)/Model!$G$23</f>
        <v>-21.9345</v>
      </c>
      <c r="I60" s="296">
        <f ca="1">SUM(Model!K559, Model!K560)/Model!$G$23</f>
        <v>0</v>
      </c>
      <c r="J60" s="296">
        <f ca="1">SUM(Model!L559, Model!L560)/Model!$G$23</f>
        <v>0</v>
      </c>
      <c r="K60" s="296">
        <f ca="1">SUM(Model!M559, Model!M560)/Model!$G$23</f>
        <v>0</v>
      </c>
      <c r="L60" s="296">
        <f ca="1">SUM(Model!N559, Model!N560)/Model!$G$23</f>
        <v>0</v>
      </c>
      <c r="M60" s="296">
        <f ca="1">SUM(Model!O559, Model!O560)/Model!$G$23</f>
        <v>0</v>
      </c>
      <c r="N60" s="296">
        <f ca="1">SUM(Model!P559, Model!P560)/Model!$G$23</f>
        <v>0</v>
      </c>
      <c r="O60" s="296">
        <f ca="1">SUM(Model!Q559, Model!Q560)/Model!$G$23</f>
        <v>0</v>
      </c>
      <c r="P60" s="296">
        <f ca="1">SUM(Model!R559, Model!R560)/Model!$G$23</f>
        <v>0</v>
      </c>
      <c r="Q60" s="296">
        <f ca="1">SUM(Model!S559, Model!S560)/Model!$G$23</f>
        <v>0</v>
      </c>
      <c r="R60" s="296">
        <f ca="1">SUM(Model!T559, Model!T560)/Model!$G$23</f>
        <v>0</v>
      </c>
      <c r="S60" s="296">
        <f ca="1">SUM(Model!U559, Model!U560)/Model!$G$23</f>
        <v>0</v>
      </c>
      <c r="T60" s="297"/>
      <c r="U60" s="297"/>
      <c r="V60" s="315"/>
      <c r="W60" s="296">
        <f ca="1">SUMIFS(F60:T60, F$4:T$4, W$4)</f>
        <v>-67.363500000000002</v>
      </c>
      <c r="X60" s="314"/>
    </row>
    <row r="61" spans="3:24" x14ac:dyDescent="0.2">
      <c r="C61" s="288" t="s">
        <v>153</v>
      </c>
      <c r="D61" s="288"/>
      <c r="E61" s="288"/>
      <c r="F61" s="288"/>
      <c r="G61" s="291">
        <f ca="1">SUM(Model!I561, Model!I565)/Model!$G$23</f>
        <v>-1.2339251602773782</v>
      </c>
      <c r="H61" s="291">
        <f ca="1">SUM(Model!J561, Model!J565)/Model!$G$23</f>
        <v>-1.8473885300404527</v>
      </c>
      <c r="I61" s="291">
        <f ca="1">SUM(Model!K561, Model!K565)/Model!$G$23</f>
        <v>-1.818244055497638</v>
      </c>
      <c r="J61" s="291">
        <f ca="1">SUM(Model!L561, Model!L565)/Model!$G$23</f>
        <v>-1.7829649505235552</v>
      </c>
      <c r="K61" s="291">
        <f ca="1">SUM(Model!M561, Model!M565)/Model!$G$23</f>
        <v>-1.7463399020943176</v>
      </c>
      <c r="L61" s="291">
        <f ca="1">SUM(Model!N561, Model!N565)/Model!$G$23</f>
        <v>-1.7083175607273968</v>
      </c>
      <c r="M61" s="291">
        <f ca="1">SUM(Model!O561, Model!O565)/Model!$G$23</f>
        <v>-1.6688446178911334</v>
      </c>
      <c r="N61" s="291">
        <f ca="1">SUM(Model!P561, Model!P565)/Model!$G$23</f>
        <v>-1.6278657312644818</v>
      </c>
      <c r="O61" s="291">
        <f ca="1">SUM(Model!Q561, Model!Q565)/Model!$G$23</f>
        <v>-1.5853234471453141</v>
      </c>
      <c r="P61" s="291">
        <f ca="1">SUM(Model!R561, Model!R565)/Model!$G$23</f>
        <v>-1.5411581198985045</v>
      </c>
      <c r="Q61" s="291">
        <f ca="1">SUM(Model!S561, Model!S565)/Model!$G$23</f>
        <v>0</v>
      </c>
      <c r="R61" s="291">
        <f ca="1">SUM(Model!T561, Model!T565)/Model!$G$23</f>
        <v>0</v>
      </c>
      <c r="S61" s="291">
        <f ca="1">SUM(Model!U561, Model!U565)/Model!$G$23</f>
        <v>0</v>
      </c>
      <c r="T61" s="289"/>
      <c r="U61" s="289"/>
      <c r="V61" s="316"/>
      <c r="W61" s="291">
        <f ca="1">SUMIFS(F61:T61, F$4:T$4, W$4)</f>
        <v>-16.560372075360171</v>
      </c>
      <c r="X61" s="314"/>
    </row>
    <row r="62" spans="3:24" x14ac:dyDescent="0.2">
      <c r="C62" s="288" t="s">
        <v>154</v>
      </c>
      <c r="D62" s="288"/>
      <c r="E62" s="288"/>
      <c r="F62" s="288"/>
      <c r="G62" s="291">
        <f ca="1">SUM(Model!I557, , Model!I558, Model!I562, Model!I563, Model!I564, Model!I566)/Model!$G$23</f>
        <v>32.164315844563653</v>
      </c>
      <c r="H62" s="291">
        <f ca="1">SUM(Model!J557, , Model!J558, Model!J562, Model!J563, Model!J564, Model!J566)/Model!$G$23</f>
        <v>15.756015144803769</v>
      </c>
      <c r="I62" s="291">
        <f ca="1">SUM(Model!K557, , Model!K558, Model!K562, Model!K563, Model!K564, Model!K566)/Model!$G$23</f>
        <v>-0.92471585117879607</v>
      </c>
      <c r="J62" s="291">
        <f ca="1">SUM(Model!L557, , Model!L558, Model!L562, Model!L563, Model!L564, Model!L566)/Model!$G$23</f>
        <v>-0.95999495615287855</v>
      </c>
      <c r="K62" s="291">
        <f ca="1">SUM(Model!M557, , Model!M558, Model!M562, Model!M563, Model!M564, Model!M566)/Model!$G$23</f>
        <v>-0.9966200045821163</v>
      </c>
      <c r="L62" s="291">
        <f ca="1">SUM(Model!N557, , Model!N558, Model!N562, Model!N563, Model!N564, Model!N566)/Model!$G$23</f>
        <v>-1.0346423459490373</v>
      </c>
      <c r="M62" s="291">
        <f ca="1">SUM(Model!O557, , Model!O558, Model!O562, Model!O563, Model!O564, Model!O566)/Model!$G$23</f>
        <v>-1.0741152887853007</v>
      </c>
      <c r="N62" s="291">
        <f ca="1">SUM(Model!P557, , Model!P558, Model!P562, Model!P563, Model!P564, Model!P566)/Model!$G$23</f>
        <v>-1.1150941754119521</v>
      </c>
      <c r="O62" s="291">
        <f ca="1">SUM(Model!Q557, , Model!Q558, Model!Q562, Model!Q563, Model!Q564, Model!Q566)/Model!$G$23</f>
        <v>-1.1576364595311197</v>
      </c>
      <c r="P62" s="291">
        <f ca="1">SUM(Model!R557, , Model!R558, Model!R562, Model!R563, Model!R564, Model!R566)/Model!$G$23</f>
        <v>-41.644652035997986</v>
      </c>
      <c r="Q62" s="291">
        <f ca="1">SUM(Model!S557, , Model!S558, Model!S562, Model!S563, Model!S564, Model!S566)/Model!$G$23</f>
        <v>0</v>
      </c>
      <c r="R62" s="291">
        <f ca="1">SUM(Model!T557, , Model!T558, Model!T562, Model!T563, Model!T564, Model!T566)/Model!$G$23</f>
        <v>0</v>
      </c>
      <c r="S62" s="291">
        <f ca="1">SUM(Model!U557, , Model!U558, Model!U562, Model!U563, Model!U564, Model!U566)/Model!$G$23</f>
        <v>0</v>
      </c>
      <c r="T62" s="289"/>
      <c r="U62" s="289"/>
      <c r="V62" s="316"/>
      <c r="W62" s="291">
        <f ca="1">SUMIFS(F62:T62, F$4:T$4, W$4)</f>
        <v>-0.98714012822176755</v>
      </c>
      <c r="X62" s="314"/>
    </row>
    <row r="63" spans="3:24" x14ac:dyDescent="0.2">
      <c r="C63" s="288" t="s">
        <v>49</v>
      </c>
      <c r="D63" s="288"/>
      <c r="E63" s="288"/>
      <c r="F63" s="288"/>
      <c r="G63" s="291">
        <f ca="1">Model!I556/Model!$G$23</f>
        <v>21.153002747612202</v>
      </c>
      <c r="H63" s="291">
        <f>Model!J556/Model!$G$23</f>
        <v>0</v>
      </c>
      <c r="I63" s="291">
        <f>Model!K556/Model!$G$23</f>
        <v>0</v>
      </c>
      <c r="J63" s="291">
        <f>Model!L556/Model!$G$23</f>
        <v>0</v>
      </c>
      <c r="K63" s="291">
        <f>Model!M556/Model!$G$23</f>
        <v>0</v>
      </c>
      <c r="L63" s="291">
        <f>Model!N556/Model!$G$23</f>
        <v>0</v>
      </c>
      <c r="M63" s="291">
        <f>Model!O556/Model!$G$23</f>
        <v>0</v>
      </c>
      <c r="N63" s="291">
        <f>Model!P556/Model!$G$23</f>
        <v>0</v>
      </c>
      <c r="O63" s="291">
        <f>Model!Q556/Model!$G$23</f>
        <v>0</v>
      </c>
      <c r="P63" s="291">
        <f>Model!R556/Model!$G$23</f>
        <v>0</v>
      </c>
      <c r="Q63" s="291">
        <f>Model!S556/Model!$G$23</f>
        <v>0</v>
      </c>
      <c r="R63" s="291">
        <f>Model!T556/Model!$G$23</f>
        <v>0</v>
      </c>
      <c r="S63" s="291">
        <f>Model!U556/Model!$G$23</f>
        <v>0</v>
      </c>
      <c r="T63" s="289"/>
      <c r="U63" s="289"/>
      <c r="V63" s="316"/>
      <c r="W63" s="291">
        <f ca="1">SUMIFS(F63:T63, F$4:T$4, W$4)</f>
        <v>21.153002747612202</v>
      </c>
      <c r="X63" s="314"/>
    </row>
    <row r="64" spans="3:24" x14ac:dyDescent="0.2">
      <c r="C64" s="292" t="s">
        <v>155</v>
      </c>
      <c r="D64" s="292"/>
      <c r="E64" s="292"/>
      <c r="F64" s="292"/>
      <c r="G64" s="293">
        <f>SUM(Model!I567, Model!I568)/Model!$G$23</f>
        <v>0</v>
      </c>
      <c r="H64" s="293">
        <f>SUM(Model!J567, Model!J568)/Model!$G$23</f>
        <v>0</v>
      </c>
      <c r="I64" s="293">
        <f>SUM(Model!K567, Model!K568)/Model!$G$23</f>
        <v>0</v>
      </c>
      <c r="J64" s="293">
        <f>SUM(Model!L567, Model!L568)/Model!$G$23</f>
        <v>0</v>
      </c>
      <c r="K64" s="293">
        <f>SUM(Model!M567, Model!M568)/Model!$G$23</f>
        <v>0</v>
      </c>
      <c r="L64" s="293">
        <f>SUM(Model!N567, Model!N568)/Model!$G$23</f>
        <v>0</v>
      </c>
      <c r="M64" s="293">
        <f>SUM(Model!O567, Model!O568)/Model!$G$23</f>
        <v>0</v>
      </c>
      <c r="N64" s="293">
        <f>SUM(Model!P567, Model!P568)/Model!$G$23</f>
        <v>0</v>
      </c>
      <c r="O64" s="293">
        <f>SUM(Model!Q567, Model!Q568)/Model!$G$23</f>
        <v>0</v>
      </c>
      <c r="P64" s="293">
        <f>SUM(Model!R567, Model!R568)/Model!$G$23</f>
        <v>67.360041936775474</v>
      </c>
      <c r="Q64" s="293">
        <f>SUM(Model!S567, Model!S568)/Model!$G$23</f>
        <v>0</v>
      </c>
      <c r="R64" s="293">
        <f>SUM(Model!T567, Model!T568)/Model!$G$23</f>
        <v>0</v>
      </c>
      <c r="S64" s="293">
        <f>SUM(Model!U567, Model!U568)/Model!$G$23</f>
        <v>0</v>
      </c>
      <c r="T64" s="294"/>
      <c r="U64" s="294"/>
      <c r="V64" s="317"/>
      <c r="W64" s="293">
        <f>SUMIFS(F64:T64, F$4:T$4, W$4)</f>
        <v>67.360041936775474</v>
      </c>
      <c r="X64" s="314"/>
    </row>
    <row r="65" spans="3:24" ht="5.0999999999999996" customHeight="1" x14ac:dyDescent="0.2">
      <c r="V65" s="313"/>
      <c r="X65" s="314"/>
    </row>
    <row r="66" spans="3:24" x14ac:dyDescent="0.2">
      <c r="C66" s="20" t="s">
        <v>157</v>
      </c>
      <c r="D66" s="20"/>
      <c r="E66" s="20"/>
      <c r="F66" s="20"/>
      <c r="G66" s="125">
        <f ca="1">Model!I571/Model!$G$23</f>
        <v>6.6543934318984785</v>
      </c>
      <c r="H66" s="125">
        <f ca="1">Model!J571/Model!$G$23</f>
        <v>-8.0258733852366859</v>
      </c>
      <c r="I66" s="125">
        <f ca="1">Model!K571/Model!$G$23</f>
        <v>-2.7429599066764339</v>
      </c>
      <c r="J66" s="125">
        <f ca="1">Model!L571/Model!$G$23</f>
        <v>-2.7429599066764339</v>
      </c>
      <c r="K66" s="125">
        <f ca="1">Model!M571/Model!$G$23</f>
        <v>-2.7429599066764339</v>
      </c>
      <c r="L66" s="125">
        <f ca="1">Model!N571/Model!$G$23</f>
        <v>-2.7429599066764339</v>
      </c>
      <c r="M66" s="125">
        <f ca="1">Model!O571/Model!$G$23</f>
        <v>-2.7429599066764339</v>
      </c>
      <c r="N66" s="125">
        <f ca="1">Model!P571/Model!$G$23</f>
        <v>-2.7429599066764339</v>
      </c>
      <c r="O66" s="125">
        <f ca="1">Model!Q571/Model!$G$23</f>
        <v>-2.7429599066764339</v>
      </c>
      <c r="P66" s="125">
        <f ca="1">Model!R571/Model!$G$23</f>
        <v>-34.89180661858196</v>
      </c>
      <c r="Q66" s="125">
        <f ca="1">Model!S571/Model!$G$23</f>
        <v>0</v>
      </c>
      <c r="R66" s="125">
        <f ca="1">Model!T571/Model!$G$23</f>
        <v>0</v>
      </c>
      <c r="S66" s="125">
        <f ca="1">Model!U571/Model!$G$23</f>
        <v>0</v>
      </c>
      <c r="T66" s="20"/>
      <c r="U66" s="20"/>
      <c r="V66" s="318"/>
      <c r="W66" s="125">
        <f ca="1">SUMIFS(F66:T66, F$4:T$4, W$4)</f>
        <v>-55.464005918655204</v>
      </c>
      <c r="X66" s="319"/>
    </row>
    <row r="67" spans="3:24" x14ac:dyDescent="0.2">
      <c r="V67" s="313"/>
      <c r="X67" s="314"/>
    </row>
    <row r="68" spans="3:24" x14ac:dyDescent="0.2">
      <c r="C68" s="102" t="s">
        <v>266</v>
      </c>
      <c r="D68" s="102"/>
      <c r="E68" s="102"/>
      <c r="F68" s="165"/>
      <c r="G68" s="165">
        <f ca="1">Model!I573/Model!$G$23</f>
        <v>6.6543934318984785</v>
      </c>
      <c r="H68" s="165">
        <f ca="1">Model!J573/Model!$G$23</f>
        <v>-5.0315428021116855</v>
      </c>
      <c r="I68" s="165">
        <f ca="1">Model!K573/Model!$G$23</f>
        <v>3.3852456072535664</v>
      </c>
      <c r="J68" s="165">
        <f ca="1">Model!L573/Model!$G$23</f>
        <v>3.4876431706900672</v>
      </c>
      <c r="K68" s="165">
        <f ca="1">Model!M573/Model!$G$23</f>
        <v>3.6122552322373949</v>
      </c>
      <c r="L68" s="165">
        <f ca="1">Model!N573/Model!$G$23</f>
        <v>3.7393595350156725</v>
      </c>
      <c r="M68" s="165">
        <f ca="1">Model!O573/Model!$G$23</f>
        <v>3.8904068246907211</v>
      </c>
      <c r="N68" s="165">
        <f ca="1">Model!P573/Model!$G$23</f>
        <v>4.0012452404600305</v>
      </c>
      <c r="O68" s="165">
        <f ca="1">Model!Q573/Model!$G$23</f>
        <v>4.1361293434027608</v>
      </c>
      <c r="P68" s="165">
        <f ca="1">Model!R573/Model!$G$23</f>
        <v>-27.87513558350118</v>
      </c>
      <c r="Q68" s="165">
        <f ca="1">Model!S573/Model!$G$23</f>
        <v>0</v>
      </c>
      <c r="R68" s="165">
        <f ca="1">Model!T573/Model!$G$23</f>
        <v>0</v>
      </c>
      <c r="S68" s="165">
        <f ca="1">Model!U573/Model!$G$23</f>
        <v>0</v>
      </c>
      <c r="T68" s="267"/>
      <c r="U68" s="267"/>
      <c r="V68" s="324"/>
      <c r="W68" s="165">
        <f ca="1">SUMIFS(F68:T68, F$4:T$4, W$4)</f>
        <v>3.5825564737024251E-11</v>
      </c>
      <c r="X68" s="323"/>
    </row>
    <row r="69" spans="3:24" x14ac:dyDescent="0.2">
      <c r="V69" s="313"/>
      <c r="X69" s="314"/>
    </row>
    <row r="70" spans="3:24" x14ac:dyDescent="0.2">
      <c r="C70" s="102" t="s">
        <v>151</v>
      </c>
      <c r="D70" s="102"/>
      <c r="E70" s="102"/>
      <c r="F70" s="165"/>
      <c r="G70" s="165">
        <f ca="1">Model!I575/Model!$G$23</f>
        <v>-14.498609315713722</v>
      </c>
      <c r="H70" s="165">
        <f ca="1">Model!J575/Model!$G$23</f>
        <v>-5.0315428021116855</v>
      </c>
      <c r="I70" s="165">
        <f ca="1">Model!K575/Model!$G$23</f>
        <v>3.3852456072535664</v>
      </c>
      <c r="J70" s="165">
        <f ca="1">Model!L575/Model!$G$23</f>
        <v>3.4876431706900672</v>
      </c>
      <c r="K70" s="165">
        <f ca="1">Model!M575/Model!$G$23</f>
        <v>3.6122552322373949</v>
      </c>
      <c r="L70" s="165">
        <f ca="1">Model!N575/Model!$G$23</f>
        <v>3.7393595350156725</v>
      </c>
      <c r="M70" s="165">
        <f ca="1">Model!O575/Model!$G$23</f>
        <v>3.8904068246907211</v>
      </c>
      <c r="N70" s="165">
        <f ca="1">Model!P575/Model!$G$23</f>
        <v>4.0012452404600305</v>
      </c>
      <c r="O70" s="165">
        <f ca="1">Model!Q575/Model!$G$23</f>
        <v>4.1361293434027608</v>
      </c>
      <c r="P70" s="165">
        <f ca="1">Model!R575/Model!$G$23</f>
        <v>31.190902815959763</v>
      </c>
      <c r="Q70" s="165">
        <f ca="1">Model!S575/Model!$G$23</f>
        <v>0</v>
      </c>
      <c r="R70" s="165">
        <f ca="1">Model!T575/Model!$G$23</f>
        <v>0</v>
      </c>
      <c r="S70" s="165">
        <f ca="1">Model!U575/Model!$G$23</f>
        <v>0</v>
      </c>
      <c r="T70" s="267"/>
      <c r="U70" s="267"/>
      <c r="V70" s="328"/>
      <c r="W70" s="165">
        <f ca="1">SUMIFS(F70:T70, F$4:T$4, W$4)</f>
        <v>37.91303565188457</v>
      </c>
      <c r="X70" s="314"/>
    </row>
    <row r="71" spans="3:24" ht="5.0999999999999996" customHeight="1" thickBot="1" x14ac:dyDescent="0.25">
      <c r="V71" s="325"/>
      <c r="W71" s="326"/>
      <c r="X71" s="327"/>
    </row>
    <row r="72" spans="3:24" ht="13.5" thickTop="1" x14ac:dyDescent="0.2"/>
    <row r="73" spans="3:24" x14ac:dyDescent="0.2">
      <c r="C73" s="5" t="s">
        <v>156</v>
      </c>
      <c r="D73" s="5"/>
      <c r="E73" s="5"/>
      <c r="F73" s="5"/>
      <c r="G73" s="133">
        <f ca="1">(G23-SUM(G18:G22))+(G31-SUM(G26:G30))+(G33-(G23+G31))+(G44-SUM(G36:G43))+(G54-SUM(G47:G53))+(G56-(G33+G44+G54))+(G66-SUM(G59:G65))+(G68-(G56+G66))</f>
        <v>5.3290705182007514E-15</v>
      </c>
      <c r="H73" s="133">
        <f t="shared" ref="H73:R73" ca="1" si="4">(H23-SUM(H18:H22))+(H31-SUM(H26:H30))+(H33-(H23+H31))+(H44-SUM(H36:H43))+(H54-SUM(H47:H53))+(H56-(H33+H44+H54))+(H66-SUM(H59:H65))+(H68-(H56+H66))</f>
        <v>-2.9976021664879227E-15</v>
      </c>
      <c r="I73" s="133">
        <f t="shared" ca="1" si="4"/>
        <v>-3.1086244689504383E-15</v>
      </c>
      <c r="J73" s="133">
        <f t="shared" ca="1" si="4"/>
        <v>-3.5527136788005009E-15</v>
      </c>
      <c r="K73" s="133">
        <f t="shared" ca="1" si="4"/>
        <v>0</v>
      </c>
      <c r="L73" s="133">
        <f t="shared" ca="1" si="4"/>
        <v>0</v>
      </c>
      <c r="M73" s="133">
        <f t="shared" ca="1" si="4"/>
        <v>-1.1102230246251565E-15</v>
      </c>
      <c r="N73" s="133">
        <f t="shared" ca="1" si="4"/>
        <v>1.3322676295501878E-15</v>
      </c>
      <c r="O73" s="133">
        <f t="shared" ca="1" si="4"/>
        <v>-2.6645352591003757E-15</v>
      </c>
      <c r="P73" s="133">
        <f t="shared" ca="1" si="4"/>
        <v>-59.066038399460943</v>
      </c>
      <c r="Q73" s="133">
        <f t="shared" ca="1" si="4"/>
        <v>0</v>
      </c>
      <c r="R73" s="133">
        <f t="shared" ca="1" si="4"/>
        <v>0</v>
      </c>
      <c r="S73" s="133">
        <f t="shared" ref="S73" ca="1" si="5">(S23-SUM(S18:S22))+(S31-SUM(S26:S30))+(S33-(S23+S31))+(S44-SUM(S36:S43))+(S54-SUM(S47:S53))+(S56-(S33+S44+S54))+(S66-SUM(S59:S65))+(S68-(S56+S66))</f>
        <v>0</v>
      </c>
      <c r="T73" s="133"/>
      <c r="U73" s="133"/>
      <c r="V73" s="5"/>
      <c r="W73" s="133">
        <f ca="1">(W23-SUM(W18:W22))+(W31-SUM(W26:W30))+(W33-(W23+W31))+(W44-SUM(W36:W43))+(W54-SUM(W47:W53))+(W56-(W33+W44+W54))+(W66-SUM(W59:W65))+(W68-(W56+W66))</f>
        <v>-59.066038399460957</v>
      </c>
      <c r="X73" s="45"/>
    </row>
    <row r="75" spans="3:24" x14ac:dyDescent="0.2">
      <c r="C75" s="1" t="s">
        <v>245</v>
      </c>
    </row>
    <row r="76" spans="3:24" x14ac:dyDescent="0.2">
      <c r="C76" s="1" t="s">
        <v>190</v>
      </c>
      <c r="G76" s="298">
        <f>SUM(G41, G42, G54)</f>
        <v>0</v>
      </c>
      <c r="H76" s="298">
        <f t="shared" ref="H76:R76" si="6">SUM(H41, H42, H54)</f>
        <v>-1.1966761125000001</v>
      </c>
      <c r="I76" s="298">
        <f t="shared" si="6"/>
        <v>-2.4448718537999996</v>
      </c>
      <c r="J76" s="298">
        <f t="shared" si="6"/>
        <v>-2.49004365489</v>
      </c>
      <c r="K76" s="298">
        <f t="shared" si="6"/>
        <v>-2.5398445279878006</v>
      </c>
      <c r="L76" s="298">
        <f t="shared" si="6"/>
        <v>-2.5906414185475559</v>
      </c>
      <c r="M76" s="298">
        <f t="shared" si="6"/>
        <v>-2.6464079216319383</v>
      </c>
      <c r="N76" s="298">
        <f t="shared" si="6"/>
        <v>-2.6953033318568771</v>
      </c>
      <c r="O76" s="298">
        <f t="shared" si="6"/>
        <v>-2.7492093984940151</v>
      </c>
      <c r="P76" s="298">
        <f t="shared" si="6"/>
        <v>-2.8041935864638954</v>
      </c>
      <c r="Q76" s="298">
        <f t="shared" si="6"/>
        <v>0</v>
      </c>
      <c r="R76" s="298">
        <f t="shared" si="6"/>
        <v>0</v>
      </c>
      <c r="S76" s="298">
        <f t="shared" ref="S76" si="7">SUM(S41, S42, S54)</f>
        <v>0</v>
      </c>
    </row>
    <row r="77" spans="3:24" x14ac:dyDescent="0.2">
      <c r="C77" s="1" t="s">
        <v>246</v>
      </c>
      <c r="G77" s="138">
        <f>IFERROR(G56/G23, 0)</f>
        <v>0</v>
      </c>
      <c r="H77" s="138">
        <f t="shared" ref="H77:R77" si="8">IFERROR(H56/H23, 0)</f>
        <v>0.25624180455311696</v>
      </c>
      <c r="I77" s="138">
        <f t="shared" si="8"/>
        <v>0.25636880022980851</v>
      </c>
      <c r="J77" s="138">
        <f t="shared" si="8"/>
        <v>0.25624180455311701</v>
      </c>
      <c r="K77" s="138">
        <f t="shared" si="8"/>
        <v>0.25624180455311696</v>
      </c>
      <c r="L77" s="138">
        <f t="shared" si="8"/>
        <v>0.25624180455311696</v>
      </c>
      <c r="M77" s="138">
        <f t="shared" si="8"/>
        <v>0.25636880022980835</v>
      </c>
      <c r="N77" s="138">
        <f t="shared" si="8"/>
        <v>0.25624180455311685</v>
      </c>
      <c r="O77" s="138">
        <f t="shared" si="8"/>
        <v>0.2562418045531169</v>
      </c>
      <c r="P77" s="138">
        <f t="shared" si="8"/>
        <v>0.2562418045531169</v>
      </c>
      <c r="Q77" s="138">
        <f t="shared" si="8"/>
        <v>0</v>
      </c>
      <c r="R77" s="138">
        <f t="shared" si="8"/>
        <v>0</v>
      </c>
      <c r="S77" s="138">
        <f t="shared" ref="S77" si="9">IFERROR(S56/S23, 0)</f>
        <v>0</v>
      </c>
    </row>
  </sheetData>
  <pageMargins left="0.7" right="0.7" top="0.75" bottom="0.75" header="0.3" footer="0.3"/>
  <pageSetup scale="6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70C0"/>
  </sheetPr>
  <dimension ref="A1"/>
  <sheetViews>
    <sheetView view="pageBreakPreview" zoomScaleNormal="100" zoomScaleSheetLayoutView="100" workbookViewId="0"/>
  </sheetViews>
  <sheetFormatPr defaultRowHeight="12.75" x14ac:dyDescent="0.2"/>
  <cols>
    <col min="1" max="1" width="0.85546875" style="1" customWidth="1"/>
    <col min="2" max="28" width="3.28515625" style="1" customWidth="1"/>
    <col min="29" max="29" width="0.85546875" style="1" customWidth="1"/>
    <col min="30" max="16384" width="9.140625" style="1"/>
  </cols>
  <sheetData/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1"/>
  </sheetPr>
  <dimension ref="A1"/>
  <sheetViews>
    <sheetView workbookViewId="0"/>
  </sheetViews>
  <sheetFormatPr defaultRowHeight="12.75" x14ac:dyDescent="0.2"/>
  <cols>
    <col min="1" max="16384" width="9.140625" style="262"/>
  </cols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1"/>
    <pageSetUpPr fitToPage="1"/>
  </sheetPr>
  <dimension ref="A1:AW762"/>
  <sheetViews>
    <sheetView showGridLines="0" zoomScale="85" zoomScaleNormal="85" workbookViewId="0"/>
  </sheetViews>
  <sheetFormatPr defaultRowHeight="12.75" x14ac:dyDescent="0.2"/>
  <cols>
    <col min="1" max="1" width="3.28515625" style="1" customWidth="1"/>
    <col min="2" max="2" width="2.7109375" style="1" customWidth="1"/>
    <col min="3" max="3" width="0.85546875" style="1" customWidth="1"/>
    <col min="4" max="4" width="32.5703125" style="1" customWidth="1"/>
    <col min="5" max="5" width="3.28515625" style="1" customWidth="1"/>
    <col min="6" max="7" width="17" style="1" customWidth="1"/>
    <col min="8" max="8" width="0.85546875" style="1" customWidth="1"/>
    <col min="9" max="21" width="17" style="1" customWidth="1"/>
    <col min="22" max="22" width="0.85546875" style="1" customWidth="1"/>
    <col min="23" max="23" width="9.140625" style="1"/>
    <col min="24" max="26" width="3.28515625" style="1" customWidth="1"/>
    <col min="27" max="27" width="41.42578125" style="1" customWidth="1"/>
    <col min="28" max="28" width="17" style="1" customWidth="1"/>
    <col min="29" max="49" width="16.85546875" style="1" customWidth="1"/>
    <col min="50" max="16384" width="9.140625" style="1"/>
  </cols>
  <sheetData>
    <row r="1" spans="1:24" ht="23.25" x14ac:dyDescent="0.35">
      <c r="A1" s="11" t="str">
        <f>$G$11</f>
        <v>ABC Hotel</v>
      </c>
      <c r="X1" s="141"/>
    </row>
    <row r="2" spans="1:24" x14ac:dyDescent="0.2">
      <c r="B2" s="1" t="s">
        <v>47</v>
      </c>
      <c r="X2" s="141"/>
    </row>
    <row r="3" spans="1:24" x14ac:dyDescent="0.2">
      <c r="X3" s="141"/>
    </row>
    <row r="4" spans="1:24" x14ac:dyDescent="0.2">
      <c r="B4" s="18" t="s">
        <v>27</v>
      </c>
      <c r="C4" s="18"/>
      <c r="D4" s="18"/>
      <c r="E4" s="14"/>
      <c r="F4" s="14"/>
      <c r="X4" s="141"/>
    </row>
    <row r="5" spans="1:24" x14ac:dyDescent="0.2">
      <c r="X5" s="141"/>
    </row>
    <row r="6" spans="1:24" x14ac:dyDescent="0.2">
      <c r="F6" s="180" t="s">
        <v>192</v>
      </c>
      <c r="G6" s="180" t="s">
        <v>31</v>
      </c>
      <c r="X6" s="141"/>
    </row>
    <row r="7" spans="1:24" x14ac:dyDescent="0.2">
      <c r="X7" s="141"/>
    </row>
    <row r="8" spans="1:24" ht="5.0999999999999996" customHeight="1" x14ac:dyDescent="0.2">
      <c r="C8" s="35"/>
      <c r="D8" s="4"/>
      <c r="E8" s="4"/>
      <c r="F8" s="4"/>
      <c r="G8" s="4"/>
      <c r="H8" s="36"/>
      <c r="X8" s="141"/>
    </row>
    <row r="9" spans="1:24" x14ac:dyDescent="0.2">
      <c r="C9" s="37"/>
      <c r="D9" s="2" t="s">
        <v>183</v>
      </c>
      <c r="E9" s="2"/>
      <c r="H9" s="38"/>
      <c r="X9" s="141"/>
    </row>
    <row r="10" spans="1:24" ht="5.0999999999999996" customHeight="1" x14ac:dyDescent="0.2">
      <c r="C10" s="37"/>
      <c r="D10" s="2"/>
      <c r="E10" s="2"/>
      <c r="H10" s="38"/>
      <c r="X10" s="141"/>
    </row>
    <row r="11" spans="1:24" x14ac:dyDescent="0.2">
      <c r="C11" s="37"/>
      <c r="D11" s="1" t="s">
        <v>19</v>
      </c>
      <c r="F11" s="8" t="s">
        <v>20</v>
      </c>
      <c r="G11" s="119" t="s">
        <v>310</v>
      </c>
      <c r="H11" s="170"/>
      <c r="I11" s="119"/>
      <c r="X11" s="141"/>
    </row>
    <row r="12" spans="1:24" x14ac:dyDescent="0.2">
      <c r="C12" s="37"/>
      <c r="D12" s="1" t="s">
        <v>29</v>
      </c>
      <c r="F12" s="8" t="s">
        <v>30</v>
      </c>
      <c r="G12" s="171">
        <v>300</v>
      </c>
      <c r="H12" s="172"/>
      <c r="X12" s="141"/>
    </row>
    <row r="13" spans="1:24" x14ac:dyDescent="0.2">
      <c r="C13" s="37"/>
      <c r="D13" s="1" t="s">
        <v>65</v>
      </c>
      <c r="F13" s="8" t="s">
        <v>66</v>
      </c>
      <c r="G13" s="171">
        <f>G12*1000</f>
        <v>300000</v>
      </c>
      <c r="H13" s="173"/>
      <c r="X13" s="141"/>
    </row>
    <row r="14" spans="1:24" ht="5.0999999999999996" customHeight="1" x14ac:dyDescent="0.2">
      <c r="C14" s="39"/>
      <c r="D14" s="24"/>
      <c r="E14" s="24"/>
      <c r="F14" s="24"/>
      <c r="G14" s="24"/>
      <c r="H14" s="40"/>
      <c r="X14" s="141"/>
    </row>
    <row r="15" spans="1:24" x14ac:dyDescent="0.2">
      <c r="X15" s="141"/>
    </row>
    <row r="16" spans="1:24" ht="5.0999999999999996" customHeight="1" x14ac:dyDescent="0.2">
      <c r="C16" s="35"/>
      <c r="D16" s="4"/>
      <c r="E16" s="4"/>
      <c r="F16" s="4"/>
      <c r="G16" s="4"/>
      <c r="H16" s="36"/>
      <c r="X16" s="141"/>
    </row>
    <row r="17" spans="2:24" x14ac:dyDescent="0.2">
      <c r="C17" s="37"/>
      <c r="D17" s="2" t="s">
        <v>182</v>
      </c>
      <c r="E17" s="2"/>
      <c r="H17" s="38"/>
      <c r="X17" s="141"/>
    </row>
    <row r="18" spans="2:24" ht="5.0999999999999996" customHeight="1" x14ac:dyDescent="0.2">
      <c r="C18" s="37"/>
      <c r="D18" s="2"/>
      <c r="E18" s="2"/>
      <c r="H18" s="38"/>
      <c r="X18" s="141"/>
    </row>
    <row r="19" spans="2:24" x14ac:dyDescent="0.2">
      <c r="C19" s="37"/>
      <c r="D19" s="335" t="s">
        <v>108</v>
      </c>
      <c r="F19" s="336" t="s">
        <v>26</v>
      </c>
      <c r="G19" s="337">
        <v>43100</v>
      </c>
      <c r="H19" s="174"/>
      <c r="X19" s="141"/>
    </row>
    <row r="20" spans="2:24" x14ac:dyDescent="0.2">
      <c r="C20" s="37"/>
      <c r="D20" s="335" t="s">
        <v>280</v>
      </c>
      <c r="F20" s="336" t="s">
        <v>26</v>
      </c>
      <c r="G20" s="338">
        <f>G19</f>
        <v>43100</v>
      </c>
      <c r="H20" s="174"/>
      <c r="X20" s="141"/>
    </row>
    <row r="21" spans="2:24" x14ac:dyDescent="0.2">
      <c r="C21" s="37"/>
      <c r="D21" s="335" t="s">
        <v>279</v>
      </c>
      <c r="F21" s="336" t="s">
        <v>26</v>
      </c>
      <c r="G21" s="338">
        <f>G19</f>
        <v>43100</v>
      </c>
      <c r="H21" s="174"/>
      <c r="X21" s="141"/>
    </row>
    <row r="22" spans="2:24" x14ac:dyDescent="0.2">
      <c r="C22" s="37"/>
      <c r="D22" s="1" t="s">
        <v>278</v>
      </c>
      <c r="F22" s="8" t="s">
        <v>26</v>
      </c>
      <c r="G22" s="338">
        <f>DATE(YEAR(G19)+10, MONTH(G19), DAY(G19))</f>
        <v>46752</v>
      </c>
      <c r="H22" s="174"/>
      <c r="X22" s="141"/>
    </row>
    <row r="23" spans="2:24" x14ac:dyDescent="0.2">
      <c r="C23" s="37"/>
      <c r="D23" s="1" t="s">
        <v>109</v>
      </c>
      <c r="F23" s="8" t="s">
        <v>39</v>
      </c>
      <c r="G23" s="175">
        <v>1000000</v>
      </c>
      <c r="H23" s="172"/>
      <c r="X23" s="141"/>
    </row>
    <row r="24" spans="2:24" x14ac:dyDescent="0.2">
      <c r="C24" s="37"/>
      <c r="D24" s="1" t="s">
        <v>290</v>
      </c>
      <c r="F24" s="8" t="s">
        <v>222</v>
      </c>
      <c r="G24" s="171">
        <v>12</v>
      </c>
      <c r="H24" s="176"/>
      <c r="X24" s="141"/>
    </row>
    <row r="25" spans="2:24" x14ac:dyDescent="0.2">
      <c r="C25" s="37"/>
      <c r="D25" s="1" t="s">
        <v>24</v>
      </c>
      <c r="F25" s="8" t="s">
        <v>20</v>
      </c>
      <c r="G25" s="119" t="s">
        <v>21</v>
      </c>
      <c r="H25" s="170"/>
      <c r="X25" s="141"/>
    </row>
    <row r="26" spans="2:24" ht="5.0999999999999996" customHeight="1" x14ac:dyDescent="0.2">
      <c r="C26" s="39"/>
      <c r="D26" s="24"/>
      <c r="E26" s="24"/>
      <c r="F26" s="177"/>
      <c r="G26" s="178"/>
      <c r="H26" s="179"/>
      <c r="X26" s="141"/>
    </row>
    <row r="27" spans="2:24" x14ac:dyDescent="0.2">
      <c r="F27" s="8"/>
      <c r="G27" s="119"/>
      <c r="H27" s="7"/>
      <c r="X27" s="141"/>
    </row>
    <row r="28" spans="2:24" x14ac:dyDescent="0.2">
      <c r="B28" s="18" t="s">
        <v>43</v>
      </c>
      <c r="C28" s="18"/>
      <c r="D28" s="18"/>
      <c r="E28" s="14"/>
      <c r="X28" s="141"/>
    </row>
    <row r="29" spans="2:24" x14ac:dyDescent="0.2">
      <c r="X29" s="141"/>
    </row>
    <row r="30" spans="2:24" x14ac:dyDescent="0.2">
      <c r="F30" s="180" t="s">
        <v>145</v>
      </c>
      <c r="G30" s="180" t="s">
        <v>67</v>
      </c>
      <c r="X30" s="141"/>
    </row>
    <row r="31" spans="2:24" x14ac:dyDescent="0.2">
      <c r="F31" s="181"/>
      <c r="G31" s="181"/>
      <c r="X31" s="141"/>
    </row>
    <row r="32" spans="2:24" ht="5.0999999999999996" customHeight="1" x14ac:dyDescent="0.2">
      <c r="C32" s="35"/>
      <c r="D32" s="4"/>
      <c r="E32" s="4"/>
      <c r="F32" s="182"/>
      <c r="G32" s="182"/>
      <c r="H32" s="36"/>
      <c r="X32" s="141"/>
    </row>
    <row r="33" spans="3:24" x14ac:dyDescent="0.2">
      <c r="C33" s="37"/>
      <c r="D33" s="2" t="s">
        <v>48</v>
      </c>
      <c r="E33" s="2"/>
      <c r="G33" s="117"/>
      <c r="H33" s="38"/>
      <c r="X33" s="141"/>
    </row>
    <row r="34" spans="3:24" ht="5.0999999999999996" customHeight="1" x14ac:dyDescent="0.2">
      <c r="C34" s="37"/>
      <c r="G34" s="117"/>
      <c r="H34" s="38"/>
      <c r="X34" s="141"/>
    </row>
    <row r="35" spans="3:24" x14ac:dyDescent="0.2">
      <c r="C35" s="37"/>
      <c r="D35" s="1" t="s">
        <v>184</v>
      </c>
      <c r="F35" s="187">
        <f ca="1">SUM(G115)</f>
        <v>49357006.41109512</v>
      </c>
      <c r="G35" s="118">
        <f ca="1">F35/$F$38</f>
        <v>0.7</v>
      </c>
      <c r="H35" s="183"/>
      <c r="X35" s="141"/>
    </row>
    <row r="36" spans="3:24" x14ac:dyDescent="0.2">
      <c r="C36" s="37"/>
      <c r="D36" s="1" t="s">
        <v>49</v>
      </c>
      <c r="F36" s="187">
        <f ca="1">-F46-F35</f>
        <v>21153002.747612201</v>
      </c>
      <c r="G36" s="118">
        <f ca="1">F36/$F$38</f>
        <v>0.30000000000000004</v>
      </c>
      <c r="H36" s="183"/>
      <c r="X36" s="141"/>
    </row>
    <row r="37" spans="3:24" ht="5.0999999999999996" customHeight="1" x14ac:dyDescent="0.2">
      <c r="C37" s="37"/>
      <c r="F37" s="122"/>
      <c r="G37" s="8"/>
      <c r="H37" s="38"/>
      <c r="X37" s="141"/>
    </row>
    <row r="38" spans="3:24" x14ac:dyDescent="0.2">
      <c r="C38" s="37"/>
      <c r="D38" s="3" t="s">
        <v>50</v>
      </c>
      <c r="E38" s="3"/>
      <c r="F38" s="188">
        <f ca="1">SUM(F34:F37)</f>
        <v>70510009.158707321</v>
      </c>
      <c r="G38" s="118">
        <f ca="1">F38/$F$38</f>
        <v>1</v>
      </c>
      <c r="H38" s="184"/>
      <c r="X38" s="141"/>
    </row>
    <row r="39" spans="3:24" x14ac:dyDescent="0.2">
      <c r="C39" s="37"/>
      <c r="F39" s="120"/>
      <c r="G39" s="8"/>
      <c r="H39" s="38"/>
      <c r="X39" s="141"/>
    </row>
    <row r="40" spans="3:24" x14ac:dyDescent="0.2">
      <c r="C40" s="37"/>
      <c r="D40" s="2" t="s">
        <v>51</v>
      </c>
      <c r="E40" s="2"/>
      <c r="F40" s="120"/>
      <c r="G40" s="8"/>
      <c r="H40" s="38"/>
      <c r="X40" s="141"/>
    </row>
    <row r="41" spans="3:24" ht="5.0999999999999996" customHeight="1" x14ac:dyDescent="0.2">
      <c r="C41" s="37"/>
      <c r="F41" s="120"/>
      <c r="G41" s="8"/>
      <c r="H41" s="38"/>
      <c r="X41" s="141"/>
    </row>
    <row r="42" spans="3:24" x14ac:dyDescent="0.2">
      <c r="C42" s="37"/>
      <c r="D42" s="1" t="s">
        <v>68</v>
      </c>
      <c r="F42" s="122">
        <f>G60</f>
        <v>-1560000</v>
      </c>
      <c r="G42" s="118">
        <f ca="1">F42/$F$46</f>
        <v>2.212451847068516E-2</v>
      </c>
      <c r="H42" s="185"/>
      <c r="X42" s="141"/>
    </row>
    <row r="43" spans="3:24" x14ac:dyDescent="0.2">
      <c r="C43" s="37"/>
      <c r="D43" s="1" t="s">
        <v>52</v>
      </c>
      <c r="F43" s="187">
        <f ca="1">K102</f>
        <v>-67962869.030485421</v>
      </c>
      <c r="G43" s="118">
        <f ca="1">F43/$F$46</f>
        <v>0.9638754815293149</v>
      </c>
      <c r="H43" s="183"/>
      <c r="X43" s="141"/>
    </row>
    <row r="44" spans="3:24" x14ac:dyDescent="0.2">
      <c r="C44" s="37"/>
      <c r="D44" s="1" t="s">
        <v>286</v>
      </c>
      <c r="F44" s="187">
        <f ca="1">SUM(G125, G143)</f>
        <v>-987140.12822190241</v>
      </c>
      <c r="G44" s="118">
        <f ca="1">F44/$F$46</f>
        <v>1.3999999999999999E-2</v>
      </c>
      <c r="H44" s="183"/>
      <c r="X44" s="141"/>
    </row>
    <row r="45" spans="3:24" ht="5.0999999999999996" customHeight="1" x14ac:dyDescent="0.2">
      <c r="C45" s="37"/>
      <c r="F45" s="122"/>
      <c r="G45" s="117"/>
      <c r="H45" s="38"/>
      <c r="X45" s="141"/>
    </row>
    <row r="46" spans="3:24" x14ac:dyDescent="0.2">
      <c r="C46" s="37"/>
      <c r="D46" s="3" t="s">
        <v>62</v>
      </c>
      <c r="E46" s="3"/>
      <c r="F46" s="188">
        <f ca="1">SUM(F41:F45)</f>
        <v>-70510009.158707321</v>
      </c>
      <c r="G46" s="118">
        <f ca="1">F46/$F$46</f>
        <v>1</v>
      </c>
      <c r="H46" s="184"/>
      <c r="X46" s="141"/>
    </row>
    <row r="47" spans="3:24" ht="5.0999999999999996" customHeight="1" x14ac:dyDescent="0.2">
      <c r="C47" s="39"/>
      <c r="D47" s="24"/>
      <c r="E47" s="24"/>
      <c r="F47" s="186"/>
      <c r="G47" s="186"/>
      <c r="H47" s="40"/>
      <c r="X47" s="141"/>
    </row>
    <row r="48" spans="3:24" x14ac:dyDescent="0.2">
      <c r="F48" s="22"/>
      <c r="G48" s="22"/>
      <c r="X48" s="141"/>
    </row>
    <row r="49" spans="2:24" x14ac:dyDescent="0.2">
      <c r="B49" s="18" t="s">
        <v>41</v>
      </c>
      <c r="C49" s="18"/>
      <c r="D49" s="18"/>
      <c r="E49" s="14"/>
      <c r="X49" s="141"/>
    </row>
    <row r="50" spans="2:24" x14ac:dyDescent="0.2">
      <c r="X50" s="141"/>
    </row>
    <row r="51" spans="2:24" x14ac:dyDescent="0.2">
      <c r="F51" s="180" t="s">
        <v>192</v>
      </c>
      <c r="G51" s="180" t="s">
        <v>31</v>
      </c>
      <c r="X51" s="141"/>
    </row>
    <row r="52" spans="2:24" x14ac:dyDescent="0.2">
      <c r="X52" s="141"/>
    </row>
    <row r="53" spans="2:24" ht="5.0999999999999996" customHeight="1" x14ac:dyDescent="0.2">
      <c r="C53" s="35"/>
      <c r="D53" s="4"/>
      <c r="E53" s="4"/>
      <c r="F53" s="4"/>
      <c r="G53" s="4"/>
      <c r="H53" s="36"/>
      <c r="X53" s="141"/>
    </row>
    <row r="54" spans="2:24" x14ac:dyDescent="0.2">
      <c r="C54" s="37"/>
      <c r="D54" s="1" t="s">
        <v>198</v>
      </c>
      <c r="F54" s="8" t="s">
        <v>197</v>
      </c>
      <c r="G54" s="193">
        <v>0.04</v>
      </c>
      <c r="H54" s="38"/>
      <c r="X54" s="141"/>
    </row>
    <row r="55" spans="2:24" ht="5.0999999999999996" customHeight="1" x14ac:dyDescent="0.2">
      <c r="C55" s="37"/>
      <c r="H55" s="38"/>
      <c r="X55" s="141"/>
    </row>
    <row r="56" spans="2:24" x14ac:dyDescent="0.2">
      <c r="C56" s="37"/>
      <c r="D56" s="1" t="s">
        <v>142</v>
      </c>
      <c r="F56" s="117" t="s">
        <v>141</v>
      </c>
      <c r="G56" s="189">
        <v>3</v>
      </c>
      <c r="H56" s="176"/>
      <c r="X56" s="141"/>
    </row>
    <row r="57" spans="2:24" x14ac:dyDescent="0.2">
      <c r="C57" s="37"/>
      <c r="D57" s="1" t="s">
        <v>143</v>
      </c>
      <c r="F57" s="8" t="s">
        <v>70</v>
      </c>
      <c r="G57" s="190">
        <v>-500000</v>
      </c>
      <c r="H57" s="191"/>
      <c r="X57" s="141"/>
    </row>
    <row r="58" spans="2:24" x14ac:dyDescent="0.2">
      <c r="C58" s="37"/>
      <c r="D58" s="3" t="s">
        <v>144</v>
      </c>
      <c r="E58" s="3"/>
      <c r="F58" s="19" t="s">
        <v>39</v>
      </c>
      <c r="G58" s="121">
        <f>G56*G57</f>
        <v>-1500000</v>
      </c>
      <c r="H58" s="192"/>
      <c r="X58" s="141"/>
    </row>
    <row r="59" spans="2:24" x14ac:dyDescent="0.2">
      <c r="C59" s="37"/>
      <c r="D59" s="1" t="s">
        <v>69</v>
      </c>
      <c r="F59" s="8" t="s">
        <v>39</v>
      </c>
      <c r="G59" s="196">
        <f>G58*G54</f>
        <v>-60000</v>
      </c>
      <c r="H59" s="184"/>
      <c r="X59" s="141"/>
    </row>
    <row r="60" spans="2:24" x14ac:dyDescent="0.2">
      <c r="C60" s="37"/>
      <c r="D60" s="3" t="s">
        <v>71</v>
      </c>
      <c r="E60" s="3"/>
      <c r="F60" s="19" t="s">
        <v>39</v>
      </c>
      <c r="G60" s="121">
        <f>SUM(G58, G59)</f>
        <v>-1560000</v>
      </c>
      <c r="H60" s="194"/>
      <c r="X60" s="141"/>
    </row>
    <row r="61" spans="2:24" ht="5.0999999999999996" customHeight="1" x14ac:dyDescent="0.2">
      <c r="C61" s="39"/>
      <c r="D61" s="24"/>
      <c r="E61" s="24"/>
      <c r="F61" s="24"/>
      <c r="G61" s="24"/>
      <c r="H61" s="40"/>
      <c r="X61" s="141"/>
    </row>
    <row r="62" spans="2:24" x14ac:dyDescent="0.2">
      <c r="X62" s="141"/>
    </row>
    <row r="63" spans="2:24" x14ac:dyDescent="0.2">
      <c r="B63" s="18" t="s">
        <v>73</v>
      </c>
      <c r="C63" s="18"/>
      <c r="D63" s="18"/>
      <c r="E63" s="14"/>
      <c r="X63" s="141"/>
    </row>
    <row r="64" spans="2:24" x14ac:dyDescent="0.2">
      <c r="X64" s="141"/>
    </row>
    <row r="65" spans="3:24" x14ac:dyDescent="0.2">
      <c r="F65" s="10"/>
      <c r="X65" s="141"/>
    </row>
    <row r="66" spans="3:24" ht="15" x14ac:dyDescent="0.35">
      <c r="F66" s="180"/>
      <c r="G66" s="260" t="s">
        <v>231</v>
      </c>
      <c r="H66" s="260"/>
      <c r="I66" s="260"/>
      <c r="J66" s="260"/>
      <c r="K66" s="180"/>
      <c r="L66" s="180"/>
      <c r="M66" s="180"/>
      <c r="N66" s="180"/>
      <c r="X66" s="141"/>
    </row>
    <row r="67" spans="3:24" x14ac:dyDescent="0.2">
      <c r="F67" s="180" t="s">
        <v>192</v>
      </c>
      <c r="G67" s="180" t="s">
        <v>21</v>
      </c>
      <c r="H67" s="180"/>
      <c r="I67" s="180" t="s">
        <v>22</v>
      </c>
      <c r="J67" s="180" t="s">
        <v>23</v>
      </c>
      <c r="K67" s="180" t="s">
        <v>145</v>
      </c>
      <c r="L67" s="180" t="s">
        <v>150</v>
      </c>
      <c r="M67" s="180" t="s">
        <v>81</v>
      </c>
      <c r="N67" s="180" t="s">
        <v>67</v>
      </c>
      <c r="X67" s="141"/>
    </row>
    <row r="68" spans="3:24" x14ac:dyDescent="0.2">
      <c r="X68" s="141"/>
    </row>
    <row r="69" spans="3:24" ht="5.0999999999999996" customHeight="1" x14ac:dyDescent="0.2">
      <c r="C69" s="35"/>
      <c r="D69" s="4"/>
      <c r="E69" s="4"/>
      <c r="F69" s="4"/>
      <c r="G69" s="4"/>
      <c r="H69" s="4"/>
      <c r="I69" s="4"/>
      <c r="J69" s="4"/>
      <c r="K69" s="4"/>
      <c r="L69" s="4"/>
      <c r="M69" s="4"/>
      <c r="N69" s="36"/>
      <c r="X69" s="141"/>
    </row>
    <row r="70" spans="3:24" x14ac:dyDescent="0.2">
      <c r="C70" s="37"/>
      <c r="D70" s="2" t="s">
        <v>148</v>
      </c>
      <c r="E70" s="2"/>
      <c r="N70" s="38"/>
      <c r="X70" s="141"/>
    </row>
    <row r="71" spans="3:24" ht="5.0999999999999996" customHeight="1" x14ac:dyDescent="0.2">
      <c r="C71" s="37"/>
      <c r="N71" s="38"/>
      <c r="X71" s="141"/>
    </row>
    <row r="72" spans="3:24" x14ac:dyDescent="0.2">
      <c r="C72" s="37"/>
      <c r="D72" s="1" t="s">
        <v>57</v>
      </c>
      <c r="F72" s="8" t="s">
        <v>81</v>
      </c>
      <c r="G72" s="190">
        <v>-20000</v>
      </c>
      <c r="H72" s="190"/>
      <c r="I72" s="190">
        <v>-19000</v>
      </c>
      <c r="J72" s="190">
        <v>-21000</v>
      </c>
      <c r="K72" s="214">
        <f>INDEX($G72:$J72,0,MATCH($G$25,$G$67:$J$67,0))*$G$12</f>
        <v>-6000000</v>
      </c>
      <c r="L72" s="215">
        <f>K72/$G$13</f>
        <v>-20</v>
      </c>
      <c r="M72" s="214">
        <f>K72/$G$12</f>
        <v>-20000</v>
      </c>
      <c r="N72" s="218">
        <f ca="1">K72/$K$100</f>
        <v>8.7019567846457535E-2</v>
      </c>
      <c r="X72" s="141"/>
    </row>
    <row r="73" spans="3:24" x14ac:dyDescent="0.2">
      <c r="C73" s="37"/>
      <c r="D73" s="1" t="s">
        <v>74</v>
      </c>
      <c r="F73" s="8" t="s">
        <v>81</v>
      </c>
      <c r="G73" s="190">
        <v>-150000</v>
      </c>
      <c r="H73" s="190"/>
      <c r="I73" s="190">
        <v>-142500</v>
      </c>
      <c r="J73" s="190">
        <v>-157500</v>
      </c>
      <c r="K73" s="214">
        <f>INDEX($G73:$J73,0,MATCH($G$25,$G$67:$J$67,0))*$G$12</f>
        <v>-45000000</v>
      </c>
      <c r="L73" s="215">
        <f>K73/$G$13</f>
        <v>-150</v>
      </c>
      <c r="M73" s="214">
        <f>K73/$G$12</f>
        <v>-150000</v>
      </c>
      <c r="N73" s="218">
        <f ca="1">K73/$K$100</f>
        <v>0.65264675884843149</v>
      </c>
      <c r="X73" s="141"/>
    </row>
    <row r="74" spans="3:24" ht="5.0999999999999996" customHeight="1" x14ac:dyDescent="0.2">
      <c r="C74" s="37"/>
      <c r="F74" s="8"/>
      <c r="G74" s="213"/>
      <c r="H74" s="190"/>
      <c r="I74" s="213"/>
      <c r="J74" s="213"/>
      <c r="K74" s="214"/>
      <c r="L74" s="215"/>
      <c r="M74" s="214"/>
      <c r="N74" s="219"/>
      <c r="X74" s="141"/>
    </row>
    <row r="75" spans="3:24" x14ac:dyDescent="0.2">
      <c r="C75" s="37"/>
      <c r="D75" s="3" t="s">
        <v>185</v>
      </c>
      <c r="E75" s="3"/>
      <c r="F75" s="19"/>
      <c r="G75" s="208"/>
      <c r="H75" s="203"/>
      <c r="I75" s="208"/>
      <c r="J75" s="208"/>
      <c r="K75" s="204">
        <f>SUM(K71:K74)</f>
        <v>-51000000</v>
      </c>
      <c r="L75" s="205">
        <f>K75/$G$13</f>
        <v>-170</v>
      </c>
      <c r="M75" s="204">
        <f>K75/$G$12</f>
        <v>-170000</v>
      </c>
      <c r="N75" s="220">
        <f ca="1">K75/$K$100</f>
        <v>0.73966632669488908</v>
      </c>
      <c r="X75" s="141"/>
    </row>
    <row r="76" spans="3:24" x14ac:dyDescent="0.2">
      <c r="C76" s="37"/>
      <c r="F76" s="8"/>
      <c r="G76" s="213"/>
      <c r="H76" s="190"/>
      <c r="I76" s="213"/>
      <c r="J76" s="213"/>
      <c r="K76" s="214"/>
      <c r="L76" s="215"/>
      <c r="M76" s="214"/>
      <c r="N76" s="219"/>
      <c r="X76" s="141"/>
    </row>
    <row r="77" spans="3:24" x14ac:dyDescent="0.2">
      <c r="C77" s="37"/>
      <c r="D77" s="2" t="s">
        <v>149</v>
      </c>
      <c r="E77" s="2"/>
      <c r="F77" s="8"/>
      <c r="G77" s="213"/>
      <c r="H77" s="190"/>
      <c r="I77" s="213"/>
      <c r="J77" s="213"/>
      <c r="K77" s="214"/>
      <c r="L77" s="215"/>
      <c r="M77" s="214"/>
      <c r="N77" s="219"/>
      <c r="X77" s="141"/>
    </row>
    <row r="78" spans="3:24" ht="5.0999999999999996" customHeight="1" x14ac:dyDescent="0.2">
      <c r="C78" s="37"/>
      <c r="F78" s="8"/>
      <c r="G78" s="213"/>
      <c r="H78" s="190"/>
      <c r="I78" s="213"/>
      <c r="J78" s="213"/>
      <c r="K78" s="214"/>
      <c r="L78" s="215"/>
      <c r="M78" s="214"/>
      <c r="N78" s="219"/>
      <c r="X78" s="141"/>
    </row>
    <row r="79" spans="3:24" x14ac:dyDescent="0.2">
      <c r="C79" s="37"/>
      <c r="D79" s="1" t="s">
        <v>75</v>
      </c>
      <c r="F79" s="8" t="s">
        <v>82</v>
      </c>
      <c r="G79" s="193">
        <v>0.02</v>
      </c>
      <c r="H79" s="216"/>
      <c r="I79" s="193">
        <v>0.02</v>
      </c>
      <c r="J79" s="193">
        <v>0.02</v>
      </c>
      <c r="K79" s="214">
        <f>INDEX($G79:$J79,0,MATCH($G$25,$G$67:$J$67,0))*K75</f>
        <v>-1020000</v>
      </c>
      <c r="L79" s="215">
        <f t="shared" ref="L79:L90" si="0">K79/$G$13</f>
        <v>-3.4</v>
      </c>
      <c r="M79" s="214">
        <f>K79/$G$12</f>
        <v>-3400</v>
      </c>
      <c r="N79" s="218">
        <f t="shared" ref="N79:N90" ca="1" si="1">K79/$K$100</f>
        <v>1.4793326533897781E-2</v>
      </c>
      <c r="X79" s="141"/>
    </row>
    <row r="80" spans="3:24" x14ac:dyDescent="0.2">
      <c r="C80" s="37"/>
      <c r="D80" s="1" t="s">
        <v>58</v>
      </c>
      <c r="F80" s="8" t="s">
        <v>81</v>
      </c>
      <c r="G80" s="190">
        <v>-2500</v>
      </c>
      <c r="H80" s="190"/>
      <c r="I80" s="190">
        <v>-2375</v>
      </c>
      <c r="J80" s="190">
        <v>-2625</v>
      </c>
      <c r="K80" s="214">
        <f>INDEX($G80:$J80,0,MATCH($G$25,$G$67:$J$67,0))*$G$12</f>
        <v>-750000</v>
      </c>
      <c r="L80" s="215">
        <f t="shared" si="0"/>
        <v>-2.5</v>
      </c>
      <c r="M80" s="214">
        <f t="shared" ref="M80:M104" si="2">K80/$G$12</f>
        <v>-2500</v>
      </c>
      <c r="N80" s="218">
        <f t="shared" ca="1" si="1"/>
        <v>1.0877445980807192E-2</v>
      </c>
      <c r="X80" s="141"/>
    </row>
    <row r="81" spans="3:24" x14ac:dyDescent="0.2">
      <c r="C81" s="37"/>
      <c r="D81" s="1" t="s">
        <v>59</v>
      </c>
      <c r="F81" s="8" t="s">
        <v>81</v>
      </c>
      <c r="G81" s="190">
        <v>-2500</v>
      </c>
      <c r="H81" s="190"/>
      <c r="I81" s="190">
        <v>-2375</v>
      </c>
      <c r="J81" s="190">
        <v>-2625</v>
      </c>
      <c r="K81" s="214">
        <f>INDEX($G81:$J81,0,MATCH($G$25,$G$67:$J$67,0))*$G$12</f>
        <v>-750000</v>
      </c>
      <c r="L81" s="215">
        <f t="shared" si="0"/>
        <v>-2.5</v>
      </c>
      <c r="M81" s="214">
        <f t="shared" si="2"/>
        <v>-2500</v>
      </c>
      <c r="N81" s="218">
        <f t="shared" ca="1" si="1"/>
        <v>1.0877445980807192E-2</v>
      </c>
      <c r="X81" s="141"/>
    </row>
    <row r="82" spans="3:24" x14ac:dyDescent="0.2">
      <c r="C82" s="37"/>
      <c r="D82" s="1" t="s">
        <v>60</v>
      </c>
      <c r="F82" s="8" t="s">
        <v>81</v>
      </c>
      <c r="G82" s="190">
        <v>-1000</v>
      </c>
      <c r="H82" s="190"/>
      <c r="I82" s="190">
        <v>-950</v>
      </c>
      <c r="J82" s="190">
        <v>-1050</v>
      </c>
      <c r="K82" s="214">
        <f>INDEX($G82:$J82,0,MATCH($G$25,$G$67:$J$67,0))*$G$12</f>
        <v>-300000</v>
      </c>
      <c r="L82" s="215">
        <f t="shared" si="0"/>
        <v>-1</v>
      </c>
      <c r="M82" s="214">
        <f t="shared" si="2"/>
        <v>-1000</v>
      </c>
      <c r="N82" s="218">
        <f t="shared" ca="1" si="1"/>
        <v>4.3509783923228766E-3</v>
      </c>
      <c r="X82" s="141"/>
    </row>
    <row r="83" spans="3:24" x14ac:dyDescent="0.2">
      <c r="C83" s="37"/>
      <c r="D83" s="1" t="s">
        <v>61</v>
      </c>
      <c r="F83" s="8" t="s">
        <v>81</v>
      </c>
      <c r="G83" s="190">
        <v>-1000</v>
      </c>
      <c r="H83" s="190"/>
      <c r="I83" s="190">
        <v>-950</v>
      </c>
      <c r="J83" s="190">
        <v>-1050</v>
      </c>
      <c r="K83" s="214">
        <f t="shared" ref="K83:K88" si="3">INDEX($G83:$J83,0,MATCH($G$25,$G$67:$J$67,0))*$G$12</f>
        <v>-300000</v>
      </c>
      <c r="L83" s="215">
        <f t="shared" si="0"/>
        <v>-1</v>
      </c>
      <c r="M83" s="214">
        <f t="shared" si="2"/>
        <v>-1000</v>
      </c>
      <c r="N83" s="218">
        <f t="shared" ca="1" si="1"/>
        <v>4.3509783923228766E-3</v>
      </c>
      <c r="X83" s="141"/>
    </row>
    <row r="84" spans="3:24" x14ac:dyDescent="0.2">
      <c r="C84" s="37"/>
      <c r="D84" s="1" t="s">
        <v>2</v>
      </c>
      <c r="F84" s="8" t="s">
        <v>81</v>
      </c>
      <c r="G84" s="190">
        <v>-2000</v>
      </c>
      <c r="H84" s="190"/>
      <c r="I84" s="190">
        <v>-1900</v>
      </c>
      <c r="J84" s="190">
        <v>-2100</v>
      </c>
      <c r="K84" s="214">
        <f t="shared" si="3"/>
        <v>-600000</v>
      </c>
      <c r="L84" s="215">
        <f t="shared" si="0"/>
        <v>-2</v>
      </c>
      <c r="M84" s="214">
        <f t="shared" si="2"/>
        <v>-2000</v>
      </c>
      <c r="N84" s="218">
        <f t="shared" ca="1" si="1"/>
        <v>8.7019567846457532E-3</v>
      </c>
      <c r="X84" s="141"/>
    </row>
    <row r="85" spans="3:24" x14ac:dyDescent="0.2">
      <c r="C85" s="37"/>
      <c r="D85" s="1" t="s">
        <v>63</v>
      </c>
      <c r="F85" s="8" t="s">
        <v>81</v>
      </c>
      <c r="G85" s="190">
        <v>-2000</v>
      </c>
      <c r="H85" s="190"/>
      <c r="I85" s="190">
        <v>-1900</v>
      </c>
      <c r="J85" s="190">
        <v>-2100</v>
      </c>
      <c r="K85" s="214">
        <f t="shared" si="3"/>
        <v>-600000</v>
      </c>
      <c r="L85" s="215">
        <f t="shared" si="0"/>
        <v>-2</v>
      </c>
      <c r="M85" s="214">
        <f t="shared" si="2"/>
        <v>-2000</v>
      </c>
      <c r="N85" s="218">
        <f t="shared" ca="1" si="1"/>
        <v>8.7019567846457532E-3</v>
      </c>
      <c r="X85" s="141"/>
    </row>
    <row r="86" spans="3:24" x14ac:dyDescent="0.2">
      <c r="C86" s="37"/>
      <c r="D86" s="1" t="s">
        <v>64</v>
      </c>
      <c r="F86" s="8" t="s">
        <v>81</v>
      </c>
      <c r="G86" s="190">
        <v>-20000</v>
      </c>
      <c r="H86" s="190"/>
      <c r="I86" s="190">
        <v>-19000</v>
      </c>
      <c r="J86" s="190">
        <v>-21000</v>
      </c>
      <c r="K86" s="214">
        <f t="shared" si="3"/>
        <v>-6000000</v>
      </c>
      <c r="L86" s="215">
        <f t="shared" si="0"/>
        <v>-20</v>
      </c>
      <c r="M86" s="214">
        <f t="shared" si="2"/>
        <v>-20000</v>
      </c>
      <c r="N86" s="218">
        <f t="shared" ca="1" si="1"/>
        <v>8.7019567846457535E-2</v>
      </c>
      <c r="X86" s="141"/>
    </row>
    <row r="87" spans="3:24" x14ac:dyDescent="0.2">
      <c r="C87" s="37"/>
      <c r="D87" s="1" t="s">
        <v>76</v>
      </c>
      <c r="F87" s="8" t="s">
        <v>81</v>
      </c>
      <c r="G87" s="190">
        <v>-2000</v>
      </c>
      <c r="H87" s="190"/>
      <c r="I87" s="190">
        <v>-1900</v>
      </c>
      <c r="J87" s="190">
        <v>-2100</v>
      </c>
      <c r="K87" s="214">
        <f t="shared" si="3"/>
        <v>-600000</v>
      </c>
      <c r="L87" s="215">
        <f t="shared" si="0"/>
        <v>-2</v>
      </c>
      <c r="M87" s="214">
        <f t="shared" si="2"/>
        <v>-2000</v>
      </c>
      <c r="N87" s="218">
        <f t="shared" ca="1" si="1"/>
        <v>8.7019567846457532E-3</v>
      </c>
      <c r="X87" s="141"/>
    </row>
    <row r="88" spans="3:24" x14ac:dyDescent="0.2">
      <c r="C88" s="37"/>
      <c r="D88" s="1" t="s">
        <v>15</v>
      </c>
      <c r="F88" s="8" t="s">
        <v>81</v>
      </c>
      <c r="G88" s="190">
        <v>-500</v>
      </c>
      <c r="H88" s="190"/>
      <c r="I88" s="190">
        <v>-475</v>
      </c>
      <c r="J88" s="190">
        <v>-525</v>
      </c>
      <c r="K88" s="214">
        <f t="shared" si="3"/>
        <v>-150000</v>
      </c>
      <c r="L88" s="215">
        <f t="shared" si="0"/>
        <v>-0.5</v>
      </c>
      <c r="M88" s="214">
        <f t="shared" si="2"/>
        <v>-500</v>
      </c>
      <c r="N88" s="218">
        <f t="shared" ca="1" si="1"/>
        <v>2.1754891961614383E-3</v>
      </c>
      <c r="X88" s="141"/>
    </row>
    <row r="89" spans="3:24" x14ac:dyDescent="0.2">
      <c r="C89" s="37"/>
      <c r="D89" s="1" t="s">
        <v>199</v>
      </c>
      <c r="F89" s="8" t="s">
        <v>39</v>
      </c>
      <c r="G89" s="190">
        <v>-300000</v>
      </c>
      <c r="H89" s="190"/>
      <c r="I89" s="190">
        <v>-285000</v>
      </c>
      <c r="J89" s="190">
        <v>-315000</v>
      </c>
      <c r="K89" s="214">
        <f>INDEX($G89:$J89,0,MATCH($G$25,$G$67:$J$67,0))</f>
        <v>-300000</v>
      </c>
      <c r="L89" s="215">
        <f t="shared" si="0"/>
        <v>-1</v>
      </c>
      <c r="M89" s="214">
        <f t="shared" si="2"/>
        <v>-1000</v>
      </c>
      <c r="N89" s="218">
        <f t="shared" ca="1" si="1"/>
        <v>4.3509783923228766E-3</v>
      </c>
      <c r="X89" s="141"/>
    </row>
    <row r="90" spans="3:24" x14ac:dyDescent="0.2">
      <c r="C90" s="37"/>
      <c r="D90" s="1" t="s">
        <v>8</v>
      </c>
      <c r="F90" s="8" t="s">
        <v>81</v>
      </c>
      <c r="G90" s="190">
        <v>-1000</v>
      </c>
      <c r="H90" s="190"/>
      <c r="I90" s="190">
        <v>-950</v>
      </c>
      <c r="J90" s="190">
        <v>-1050</v>
      </c>
      <c r="K90" s="214">
        <f>INDEX($G90:$J90,0,MATCH($G$25,$G$67:$J$67,0))*$G$12</f>
        <v>-300000</v>
      </c>
      <c r="L90" s="215">
        <f t="shared" si="0"/>
        <v>-1</v>
      </c>
      <c r="M90" s="214">
        <f t="shared" si="2"/>
        <v>-1000</v>
      </c>
      <c r="N90" s="218">
        <f t="shared" ca="1" si="1"/>
        <v>4.3509783923228766E-3</v>
      </c>
      <c r="X90" s="141"/>
    </row>
    <row r="91" spans="3:24" ht="5.0999999999999996" customHeight="1" x14ac:dyDescent="0.2">
      <c r="C91" s="37"/>
      <c r="G91" s="217"/>
      <c r="H91" s="122"/>
      <c r="I91" s="217"/>
      <c r="J91" s="217"/>
      <c r="K91" s="122"/>
      <c r="L91" s="217"/>
      <c r="M91" s="122"/>
      <c r="N91" s="219"/>
      <c r="X91" s="141"/>
    </row>
    <row r="92" spans="3:24" x14ac:dyDescent="0.2">
      <c r="C92" s="37"/>
      <c r="D92" s="3" t="s">
        <v>201</v>
      </c>
      <c r="E92" s="3"/>
      <c r="F92" s="19"/>
      <c r="G92" s="208"/>
      <c r="H92" s="188"/>
      <c r="I92" s="208"/>
      <c r="J92" s="208"/>
      <c r="K92" s="188">
        <f>SUM(K78:K91)</f>
        <v>-11670000</v>
      </c>
      <c r="L92" s="208">
        <f>K92/$G$13</f>
        <v>-38.9</v>
      </c>
      <c r="M92" s="188">
        <f t="shared" si="2"/>
        <v>-38900</v>
      </c>
      <c r="N92" s="220">
        <f ca="1">K92/$K$100</f>
        <v>0.16925305946135991</v>
      </c>
      <c r="X92" s="141"/>
    </row>
    <row r="93" spans="3:24" x14ac:dyDescent="0.2">
      <c r="C93" s="37"/>
      <c r="G93" s="217"/>
      <c r="H93" s="122"/>
      <c r="I93" s="217"/>
      <c r="J93" s="217"/>
      <c r="K93" s="122"/>
      <c r="L93" s="217"/>
      <c r="M93" s="122"/>
      <c r="N93" s="219"/>
      <c r="X93" s="141"/>
    </row>
    <row r="94" spans="3:24" x14ac:dyDescent="0.2">
      <c r="C94" s="37"/>
      <c r="D94" s="3" t="s">
        <v>146</v>
      </c>
      <c r="E94" s="3"/>
      <c r="F94" s="19"/>
      <c r="G94" s="208"/>
      <c r="H94" s="188"/>
      <c r="I94" s="208"/>
      <c r="J94" s="208"/>
      <c r="K94" s="211">
        <f>SUM(K75, K92)</f>
        <v>-62670000</v>
      </c>
      <c r="L94" s="212">
        <f>K94/$G$13</f>
        <v>-208.9</v>
      </c>
      <c r="M94" s="211">
        <f t="shared" si="2"/>
        <v>-208900</v>
      </c>
      <c r="N94" s="220">
        <f ca="1">K94/$K$100</f>
        <v>0.9089193861562489</v>
      </c>
      <c r="X94" s="141"/>
    </row>
    <row r="95" spans="3:24" ht="5.0999999999999996" customHeight="1" x14ac:dyDescent="0.2">
      <c r="C95" s="37"/>
      <c r="G95" s="22"/>
      <c r="H95" s="22"/>
      <c r="I95" s="22"/>
      <c r="J95" s="22"/>
      <c r="K95" s="22"/>
      <c r="L95" s="217"/>
      <c r="M95" s="22"/>
      <c r="N95" s="219"/>
      <c r="X95" s="141"/>
    </row>
    <row r="96" spans="3:24" x14ac:dyDescent="0.2">
      <c r="C96" s="37"/>
      <c r="D96" s="1" t="s">
        <v>200</v>
      </c>
      <c r="F96" s="8" t="s">
        <v>39</v>
      </c>
      <c r="G96" s="214">
        <f ca="1">$G$123</f>
        <v>-2159369.0304854121</v>
      </c>
      <c r="H96" s="190"/>
      <c r="I96" s="214">
        <f ca="1">$G$123</f>
        <v>-2159369.0304854121</v>
      </c>
      <c r="J96" s="214">
        <f ca="1">$G$123</f>
        <v>-2159369.0304854121</v>
      </c>
      <c r="K96" s="214">
        <f ca="1">INDEX($G96:$J96,0,MATCH($G$25,$G$67:$J$67,0))</f>
        <v>-2159369.0304854121</v>
      </c>
      <c r="L96" s="215">
        <f ca="1">K96/$G$13</f>
        <v>-7.197896768284707</v>
      </c>
      <c r="M96" s="214">
        <f ca="1">K96/$G$12</f>
        <v>-7197.8967682847069</v>
      </c>
      <c r="N96" s="218">
        <f ca="1">K96/$K$100</f>
        <v>3.1317893308977426E-2</v>
      </c>
      <c r="X96" s="141"/>
    </row>
    <row r="97" spans="2:24" x14ac:dyDescent="0.2">
      <c r="C97" s="37"/>
      <c r="D97" s="1" t="s">
        <v>286</v>
      </c>
      <c r="F97" s="8" t="s">
        <v>39</v>
      </c>
      <c r="G97" s="214">
        <f ca="1">SUM($G$125, $G$143)</f>
        <v>-987140.12822190241</v>
      </c>
      <c r="H97" s="190"/>
      <c r="I97" s="214">
        <f ca="1">SUM($G$125, $G$143)</f>
        <v>-987140.12822190241</v>
      </c>
      <c r="J97" s="214">
        <f ca="1">SUM($G$125, $G$143)</f>
        <v>-987140.12822190241</v>
      </c>
      <c r="K97" s="214">
        <f ca="1">INDEX($G97:$J97,0,MATCH($G$25,$G$67:$J$67,0))</f>
        <v>-987140.12822190241</v>
      </c>
      <c r="L97" s="215">
        <f t="shared" ref="L97" ca="1" si="4">K97/$G$13</f>
        <v>-3.2904670940730081</v>
      </c>
      <c r="M97" s="214">
        <f t="shared" ref="M97" ca="1" si="5">K97/$G$12</f>
        <v>-3290.467094073008</v>
      </c>
      <c r="N97" s="218">
        <f ca="1">K97/$K$100</f>
        <v>1.4316751226961104E-2</v>
      </c>
      <c r="X97" s="141"/>
    </row>
    <row r="98" spans="2:24" x14ac:dyDescent="0.2">
      <c r="C98" s="37"/>
      <c r="D98" s="1" t="s">
        <v>80</v>
      </c>
      <c r="F98" s="8" t="s">
        <v>83</v>
      </c>
      <c r="G98" s="193">
        <v>0.05</v>
      </c>
      <c r="H98" s="193"/>
      <c r="I98" s="193">
        <v>0.05</v>
      </c>
      <c r="J98" s="193">
        <v>0.05</v>
      </c>
      <c r="K98" s="214">
        <f>INDEX($G98:$J98,0,MATCH($G$25,$G$67:$J$67,0))*K94</f>
        <v>-3133500</v>
      </c>
      <c r="L98" s="215">
        <f>K98/$G$13</f>
        <v>-10.445</v>
      </c>
      <c r="M98" s="214">
        <f t="shared" si="2"/>
        <v>-10445</v>
      </c>
      <c r="N98" s="218">
        <f ca="1">K98/$K$100</f>
        <v>4.5445969307812445E-2</v>
      </c>
      <c r="X98" s="141"/>
    </row>
    <row r="99" spans="2:24" ht="5.0999999999999996" customHeight="1" x14ac:dyDescent="0.2">
      <c r="C99" s="37"/>
      <c r="G99" s="22"/>
      <c r="H99" s="22"/>
      <c r="I99" s="22"/>
      <c r="J99" s="22"/>
      <c r="K99" s="22"/>
      <c r="L99" s="217"/>
      <c r="M99" s="22"/>
      <c r="N99" s="219"/>
      <c r="X99" s="141"/>
    </row>
    <row r="100" spans="2:24" x14ac:dyDescent="0.2">
      <c r="C100" s="37"/>
      <c r="D100" s="3" t="s">
        <v>147</v>
      </c>
      <c r="E100" s="3"/>
      <c r="F100" s="19"/>
      <c r="G100" s="208"/>
      <c r="H100" s="188"/>
      <c r="I100" s="208"/>
      <c r="J100" s="208"/>
      <c r="K100" s="211">
        <f ca="1">K94+SUM(K95:K99)</f>
        <v>-68950009.158707321</v>
      </c>
      <c r="L100" s="212">
        <f ca="1">K100/$G$13</f>
        <v>-229.83336386235774</v>
      </c>
      <c r="M100" s="211">
        <f t="shared" ca="1" si="2"/>
        <v>-229833.36386235774</v>
      </c>
      <c r="N100" s="220">
        <f ca="1">K100/$K$100</f>
        <v>1</v>
      </c>
      <c r="X100" s="141"/>
    </row>
    <row r="101" spans="2:24" ht="5.0999999999999996" customHeight="1" x14ac:dyDescent="0.2">
      <c r="C101" s="37"/>
      <c r="D101" s="2"/>
      <c r="E101" s="2"/>
      <c r="F101" s="195"/>
      <c r="G101" s="206"/>
      <c r="H101" s="207"/>
      <c r="I101" s="206"/>
      <c r="J101" s="206"/>
      <c r="K101" s="209"/>
      <c r="L101" s="210"/>
      <c r="M101" s="209"/>
      <c r="N101" s="227"/>
      <c r="X101" s="141"/>
    </row>
    <row r="102" spans="2:24" x14ac:dyDescent="0.2">
      <c r="C102" s="37"/>
      <c r="D102" s="9" t="s">
        <v>287</v>
      </c>
      <c r="E102" s="2"/>
      <c r="F102" s="195"/>
      <c r="G102" s="206"/>
      <c r="H102" s="207"/>
      <c r="I102" s="206"/>
      <c r="J102" s="206"/>
      <c r="K102" s="230">
        <f ca="1">K100-K97</f>
        <v>-67962869.030485421</v>
      </c>
      <c r="L102" s="231">
        <f ca="1">K102/$G$13</f>
        <v>-226.54289676828475</v>
      </c>
      <c r="M102" s="230">
        <f t="shared" ref="M102" ca="1" si="6">K102/$G$12</f>
        <v>-226542.89676828473</v>
      </c>
      <c r="N102" s="232">
        <f ca="1">K102/$K$100</f>
        <v>0.98568324877303892</v>
      </c>
      <c r="X102" s="141"/>
    </row>
    <row r="103" spans="2:24" ht="5.0999999999999996" customHeight="1" x14ac:dyDescent="0.2">
      <c r="C103" s="37"/>
      <c r="D103" s="2"/>
      <c r="E103" s="2"/>
      <c r="F103" s="195"/>
      <c r="G103" s="206"/>
      <c r="H103" s="207"/>
      <c r="I103" s="206"/>
      <c r="J103" s="206"/>
      <c r="K103" s="209"/>
      <c r="L103" s="210"/>
      <c r="M103" s="209"/>
      <c r="N103" s="227"/>
      <c r="X103" s="141"/>
    </row>
    <row r="104" spans="2:24" x14ac:dyDescent="0.2">
      <c r="C104" s="37"/>
      <c r="D104" s="9" t="s">
        <v>288</v>
      </c>
      <c r="E104" s="9"/>
      <c r="F104" s="8"/>
      <c r="G104" s="228"/>
      <c r="H104" s="229"/>
      <c r="I104" s="228"/>
      <c r="J104" s="228"/>
      <c r="K104" s="230">
        <f ca="1">K100-K96-K97</f>
        <v>-65803500.000000007</v>
      </c>
      <c r="L104" s="231">
        <f ca="1">K104/$G$13</f>
        <v>-219.34500000000003</v>
      </c>
      <c r="M104" s="230">
        <f t="shared" ca="1" si="2"/>
        <v>-219345.00000000003</v>
      </c>
      <c r="N104" s="232">
        <f ca="1">K104/$K$100</f>
        <v>0.95436535546406154</v>
      </c>
      <c r="X104" s="141"/>
    </row>
    <row r="105" spans="2:24" ht="5.0999999999999996" customHeight="1" x14ac:dyDescent="0.2">
      <c r="C105" s="39"/>
      <c r="D105" s="24"/>
      <c r="E105" s="202"/>
      <c r="F105" s="202"/>
      <c r="G105" s="24"/>
      <c r="H105" s="24"/>
      <c r="I105" s="24"/>
      <c r="J105" s="24"/>
      <c r="K105" s="24"/>
      <c r="L105" s="24"/>
      <c r="M105" s="24"/>
      <c r="N105" s="40"/>
      <c r="X105" s="141"/>
    </row>
    <row r="106" spans="2:24" x14ac:dyDescent="0.2">
      <c r="E106" s="14"/>
      <c r="F106" s="14"/>
      <c r="X106" s="141"/>
    </row>
    <row r="107" spans="2:24" x14ac:dyDescent="0.2">
      <c r="B107" s="18" t="s">
        <v>184</v>
      </c>
      <c r="C107" s="18"/>
      <c r="D107" s="18"/>
      <c r="E107" s="14"/>
      <c r="X107" s="141"/>
    </row>
    <row r="108" spans="2:24" x14ac:dyDescent="0.2">
      <c r="X108" s="141"/>
    </row>
    <row r="109" spans="2:24" x14ac:dyDescent="0.2">
      <c r="F109" s="180" t="s">
        <v>192</v>
      </c>
      <c r="G109" s="180" t="s">
        <v>31</v>
      </c>
      <c r="X109" s="141"/>
    </row>
    <row r="110" spans="2:24" x14ac:dyDescent="0.2">
      <c r="X110" s="141"/>
    </row>
    <row r="111" spans="2:24" ht="5.0999999999999996" customHeight="1" x14ac:dyDescent="0.2">
      <c r="C111" s="35"/>
      <c r="D111" s="4"/>
      <c r="E111" s="4"/>
      <c r="F111" s="4"/>
      <c r="G111" s="4"/>
      <c r="H111" s="36"/>
      <c r="X111" s="141"/>
    </row>
    <row r="112" spans="2:24" x14ac:dyDescent="0.2">
      <c r="C112" s="37"/>
      <c r="D112" s="2" t="s">
        <v>207</v>
      </c>
      <c r="H112" s="38"/>
      <c r="X112" s="141"/>
    </row>
    <row r="113" spans="3:24" ht="5.0999999999999996" customHeight="1" x14ac:dyDescent="0.2">
      <c r="C113" s="37"/>
      <c r="H113" s="38"/>
      <c r="X113" s="141"/>
    </row>
    <row r="114" spans="3:24" x14ac:dyDescent="0.2">
      <c r="C114" s="37"/>
      <c r="D114" s="1" t="s">
        <v>93</v>
      </c>
      <c r="F114" s="8" t="s">
        <v>212</v>
      </c>
      <c r="G114" s="30">
        <v>0.7</v>
      </c>
      <c r="H114" s="197"/>
      <c r="J114" s="136"/>
      <c r="X114" s="141"/>
    </row>
    <row r="115" spans="3:24" x14ac:dyDescent="0.2">
      <c r="C115" s="37"/>
      <c r="D115" s="1" t="s">
        <v>77</v>
      </c>
      <c r="F115" s="8" t="s">
        <v>39</v>
      </c>
      <c r="G115" s="114">
        <f ca="1">G114*-SUM(G60, K100)</f>
        <v>49357006.41109512</v>
      </c>
      <c r="H115" s="200"/>
      <c r="J115" s="136"/>
      <c r="X115" s="141"/>
    </row>
    <row r="116" spans="3:24" x14ac:dyDescent="0.2">
      <c r="C116" s="37"/>
      <c r="D116" s="1" t="s">
        <v>214</v>
      </c>
      <c r="F116" s="8" t="s">
        <v>94</v>
      </c>
      <c r="G116" s="111">
        <v>1.2500000000000001E-2</v>
      </c>
      <c r="H116" s="198"/>
      <c r="J116" s="136"/>
      <c r="X116" s="141"/>
    </row>
    <row r="117" spans="3:24" x14ac:dyDescent="0.2">
      <c r="C117" s="37"/>
      <c r="D117" s="1" t="s">
        <v>219</v>
      </c>
      <c r="F117" s="8" t="s">
        <v>292</v>
      </c>
      <c r="G117" s="111">
        <v>2.5000000000000001E-2</v>
      </c>
      <c r="H117" s="198"/>
      <c r="J117" s="136"/>
      <c r="X117" s="141"/>
    </row>
    <row r="118" spans="3:24" x14ac:dyDescent="0.2">
      <c r="C118" s="37"/>
      <c r="D118" s="1" t="s">
        <v>215</v>
      </c>
      <c r="F118" s="8" t="s">
        <v>196</v>
      </c>
      <c r="G118" s="112">
        <f>SUM(G116, G117)</f>
        <v>3.7500000000000006E-2</v>
      </c>
      <c r="H118" s="199"/>
      <c r="J118" s="136"/>
      <c r="X118" s="141"/>
    </row>
    <row r="119" spans="3:24" x14ac:dyDescent="0.2">
      <c r="C119" s="37"/>
      <c r="D119" s="1" t="s">
        <v>206</v>
      </c>
      <c r="F119" s="8" t="s">
        <v>213</v>
      </c>
      <c r="G119" s="113">
        <v>12</v>
      </c>
      <c r="H119" s="176"/>
      <c r="J119" s="136"/>
      <c r="X119" s="141"/>
    </row>
    <row r="120" spans="3:24" x14ac:dyDescent="0.2">
      <c r="C120" s="37"/>
      <c r="D120" s="1" t="s">
        <v>88</v>
      </c>
      <c r="F120" s="8" t="s">
        <v>26</v>
      </c>
      <c r="G120" s="115">
        <f>SUM(H436:V436)</f>
        <v>43100</v>
      </c>
      <c r="H120" s="200"/>
      <c r="J120" s="136"/>
      <c r="X120" s="141"/>
    </row>
    <row r="121" spans="3:24" x14ac:dyDescent="0.2">
      <c r="C121" s="37"/>
      <c r="D121" s="1" t="s">
        <v>89</v>
      </c>
      <c r="F121" s="8" t="s">
        <v>26</v>
      </c>
      <c r="G121" s="115">
        <f>SUM(H439:V439)</f>
        <v>43647.5</v>
      </c>
      <c r="H121" s="200"/>
      <c r="J121" s="136"/>
      <c r="X121" s="141"/>
    </row>
    <row r="122" spans="3:24" x14ac:dyDescent="0.2">
      <c r="C122" s="37"/>
      <c r="D122" s="1" t="s">
        <v>218</v>
      </c>
      <c r="F122" s="8" t="s">
        <v>87</v>
      </c>
      <c r="G122" s="234">
        <f>SUM(H437:V437)</f>
        <v>1.5</v>
      </c>
      <c r="H122" s="200"/>
      <c r="J122" s="136"/>
      <c r="X122" s="141"/>
    </row>
    <row r="123" spans="3:24" x14ac:dyDescent="0.2">
      <c r="C123" s="37"/>
      <c r="D123" s="1" t="s">
        <v>211</v>
      </c>
      <c r="F123" s="8" t="s">
        <v>39</v>
      </c>
      <c r="G123" s="114">
        <f ca="1">-SUM(H481:V481)</f>
        <v>-2159369.0304854121</v>
      </c>
      <c r="H123" s="200"/>
      <c r="X123" s="141"/>
    </row>
    <row r="124" spans="3:24" x14ac:dyDescent="0.2">
      <c r="C124" s="37"/>
      <c r="D124" s="1" t="s">
        <v>291</v>
      </c>
      <c r="F124" s="8" t="s">
        <v>216</v>
      </c>
      <c r="G124" s="30">
        <v>-1.4999999999999999E-2</v>
      </c>
      <c r="H124" s="197"/>
      <c r="J124" s="136"/>
      <c r="X124" s="141"/>
    </row>
    <row r="125" spans="3:24" x14ac:dyDescent="0.2">
      <c r="C125" s="37"/>
      <c r="D125" s="1" t="s">
        <v>53</v>
      </c>
      <c r="F125" s="8" t="s">
        <v>39</v>
      </c>
      <c r="G125" s="114">
        <f ca="1">G115*G124</f>
        <v>-740355.09616642678</v>
      </c>
      <c r="H125" s="200"/>
      <c r="J125" s="136"/>
      <c r="X125" s="141"/>
    </row>
    <row r="126" spans="3:24" ht="5.0999999999999996" customHeight="1" x14ac:dyDescent="0.2">
      <c r="C126" s="39"/>
      <c r="D126" s="24"/>
      <c r="E126" s="24"/>
      <c r="F126" s="24"/>
      <c r="G126" s="24"/>
      <c r="H126" s="40"/>
      <c r="X126" s="141"/>
    </row>
    <row r="127" spans="3:24" x14ac:dyDescent="0.2">
      <c r="X127" s="141"/>
    </row>
    <row r="128" spans="3:24" ht="5.0999999999999996" customHeight="1" x14ac:dyDescent="0.2">
      <c r="C128" s="35"/>
      <c r="D128" s="4"/>
      <c r="E128" s="4"/>
      <c r="F128" s="4"/>
      <c r="G128" s="4"/>
      <c r="H128" s="36"/>
      <c r="X128" s="141"/>
    </row>
    <row r="129" spans="3:24" x14ac:dyDescent="0.2">
      <c r="C129" s="37"/>
      <c r="D129" s="2" t="s">
        <v>56</v>
      </c>
      <c r="H129" s="38"/>
      <c r="X129" s="141"/>
    </row>
    <row r="130" spans="3:24" ht="5.0999999999999996" customHeight="1" x14ac:dyDescent="0.2">
      <c r="C130" s="37"/>
      <c r="H130" s="38"/>
      <c r="X130" s="141"/>
    </row>
    <row r="131" spans="3:24" x14ac:dyDescent="0.2">
      <c r="C131" s="37"/>
      <c r="D131" s="1" t="s">
        <v>93</v>
      </c>
      <c r="F131" s="8" t="s">
        <v>212</v>
      </c>
      <c r="G131" s="30">
        <v>0.7</v>
      </c>
      <c r="H131" s="197"/>
      <c r="X131" s="141"/>
    </row>
    <row r="132" spans="3:24" x14ac:dyDescent="0.2">
      <c r="C132" s="37"/>
      <c r="D132" s="1" t="s">
        <v>77</v>
      </c>
      <c r="F132" s="8" t="s">
        <v>39</v>
      </c>
      <c r="G132" s="114">
        <f ca="1">G131*-SUM(K100, G60)</f>
        <v>49357006.41109512</v>
      </c>
      <c r="H132" s="200"/>
      <c r="X132" s="141"/>
    </row>
    <row r="133" spans="3:24" x14ac:dyDescent="0.2">
      <c r="C133" s="37"/>
      <c r="D133" s="1" t="s">
        <v>54</v>
      </c>
      <c r="F133" s="8" t="s">
        <v>292</v>
      </c>
      <c r="G133" s="30">
        <v>3.7499999999999999E-2</v>
      </c>
      <c r="H133" s="197"/>
      <c r="X133" s="141"/>
    </row>
    <row r="134" spans="3:24" x14ac:dyDescent="0.2">
      <c r="C134" s="37"/>
      <c r="D134" s="1" t="s">
        <v>206</v>
      </c>
      <c r="F134" s="8" t="s">
        <v>213</v>
      </c>
      <c r="G134" s="113">
        <v>12</v>
      </c>
      <c r="H134" s="176"/>
      <c r="X134" s="141"/>
    </row>
    <row r="135" spans="3:24" x14ac:dyDescent="0.2">
      <c r="C135" s="37"/>
      <c r="D135" s="1" t="s">
        <v>88</v>
      </c>
      <c r="F135" s="8" t="s">
        <v>26</v>
      </c>
      <c r="G135" s="115">
        <f>SUM(H444:V444)</f>
        <v>43647.5</v>
      </c>
      <c r="H135" s="201"/>
      <c r="X135" s="141"/>
    </row>
    <row r="136" spans="3:24" x14ac:dyDescent="0.2">
      <c r="C136" s="37"/>
      <c r="D136" s="1" t="s">
        <v>89</v>
      </c>
      <c r="F136" s="8" t="s">
        <v>26</v>
      </c>
      <c r="G136" s="115">
        <f>DATE(YEAR(G135)+G137, MONTH(G135), DAY(G135))</f>
        <v>47300</v>
      </c>
      <c r="H136" s="201"/>
      <c r="X136" s="141"/>
    </row>
    <row r="137" spans="3:24" x14ac:dyDescent="0.2">
      <c r="C137" s="37"/>
      <c r="D137" s="1" t="s">
        <v>218</v>
      </c>
      <c r="F137" s="8" t="s">
        <v>87</v>
      </c>
      <c r="G137" s="113">
        <v>10</v>
      </c>
      <c r="H137" s="176"/>
      <c r="X137" s="141"/>
    </row>
    <row r="138" spans="3:24" x14ac:dyDescent="0.2">
      <c r="C138" s="37"/>
      <c r="D138" s="1" t="s">
        <v>271</v>
      </c>
      <c r="F138" s="8" t="s">
        <v>87</v>
      </c>
      <c r="G138" s="234">
        <f>ROUND((G22-G135)/365.25, 2)</f>
        <v>8.5</v>
      </c>
      <c r="H138" s="173"/>
      <c r="I138" s="334"/>
      <c r="X138" s="141"/>
    </row>
    <row r="139" spans="3:24" x14ac:dyDescent="0.2">
      <c r="C139" s="37"/>
      <c r="D139" s="1" t="s">
        <v>217</v>
      </c>
      <c r="F139" s="8" t="s">
        <v>87</v>
      </c>
      <c r="G139" s="113">
        <v>30</v>
      </c>
      <c r="H139" s="176"/>
      <c r="X139" s="141"/>
    </row>
    <row r="140" spans="3:24" x14ac:dyDescent="0.2">
      <c r="C140" s="37"/>
      <c r="D140" s="1" t="s">
        <v>208</v>
      </c>
      <c r="F140" s="8" t="s">
        <v>39</v>
      </c>
      <c r="G140" s="114">
        <f ca="1">PMT(G133/G134, G139*G134, -G132)*12</f>
        <v>2742959.906676434</v>
      </c>
      <c r="H140" s="173"/>
      <c r="X140" s="141"/>
    </row>
    <row r="141" spans="3:24" x14ac:dyDescent="0.2">
      <c r="C141" s="37"/>
      <c r="D141" s="1" t="s">
        <v>211</v>
      </c>
      <c r="F141" s="8" t="s">
        <v>39</v>
      </c>
      <c r="G141" s="114">
        <f ca="1">CUMIPMT(G133/G134, G139*G134, G132, 1, G138*G134, 0)</f>
        <v>-14401003.044874765</v>
      </c>
      <c r="H141" s="173"/>
      <c r="X141" s="141"/>
    </row>
    <row r="142" spans="3:24" x14ac:dyDescent="0.2">
      <c r="C142" s="37"/>
      <c r="D142" s="1" t="s">
        <v>291</v>
      </c>
      <c r="F142" s="8" t="s">
        <v>216</v>
      </c>
      <c r="G142" s="30">
        <v>-5.0000000000000001E-3</v>
      </c>
      <c r="H142" s="197"/>
      <c r="X142" s="141"/>
    </row>
    <row r="143" spans="3:24" x14ac:dyDescent="0.2">
      <c r="C143" s="37"/>
      <c r="D143" s="1" t="s">
        <v>53</v>
      </c>
      <c r="F143" s="8" t="s">
        <v>39</v>
      </c>
      <c r="G143" s="114">
        <f ca="1">G132*G142</f>
        <v>-246785.0320554756</v>
      </c>
      <c r="H143" s="200"/>
      <c r="X143" s="141"/>
    </row>
    <row r="144" spans="3:24" x14ac:dyDescent="0.2">
      <c r="C144" s="37"/>
      <c r="D144" s="46" t="s">
        <v>295</v>
      </c>
      <c r="E144" s="46"/>
      <c r="F144" s="46"/>
      <c r="G144" s="235">
        <f ca="1">-SUM(H492:V492)-G141</f>
        <v>0</v>
      </c>
      <c r="H144" s="173"/>
      <c r="X144" s="141"/>
    </row>
    <row r="145" spans="2:24" ht="5.0999999999999996" customHeight="1" x14ac:dyDescent="0.2">
      <c r="C145" s="39"/>
      <c r="D145" s="24"/>
      <c r="E145" s="202"/>
      <c r="F145" s="202"/>
      <c r="G145" s="24"/>
      <c r="H145" s="40"/>
      <c r="X145" s="141"/>
    </row>
    <row r="146" spans="2:24" x14ac:dyDescent="0.2">
      <c r="E146" s="14"/>
      <c r="F146" s="14"/>
      <c r="X146" s="141"/>
    </row>
    <row r="147" spans="2:24" x14ac:dyDescent="0.2">
      <c r="B147" s="18" t="s">
        <v>168</v>
      </c>
      <c r="C147" s="18"/>
      <c r="D147" s="18"/>
      <c r="E147" s="14"/>
      <c r="F147" s="14"/>
      <c r="X147" s="141"/>
    </row>
    <row r="148" spans="2:24" x14ac:dyDescent="0.2">
      <c r="E148" s="14"/>
      <c r="F148" s="14"/>
      <c r="X148" s="141"/>
    </row>
    <row r="149" spans="2:24" x14ac:dyDescent="0.2">
      <c r="E149" s="14"/>
      <c r="F149" s="180" t="s">
        <v>192</v>
      </c>
      <c r="G149" s="180" t="s">
        <v>31</v>
      </c>
      <c r="X149" s="141"/>
    </row>
    <row r="150" spans="2:24" x14ac:dyDescent="0.2">
      <c r="E150" s="14"/>
      <c r="F150" s="14"/>
      <c r="X150" s="141"/>
    </row>
    <row r="151" spans="2:24" ht="5.0999999999999996" customHeight="1" x14ac:dyDescent="0.2">
      <c r="C151" s="35"/>
      <c r="D151" s="4"/>
      <c r="E151" s="221"/>
      <c r="F151" s="221"/>
      <c r="G151" s="4"/>
      <c r="H151" s="36"/>
      <c r="X151" s="141"/>
    </row>
    <row r="152" spans="2:24" x14ac:dyDescent="0.2">
      <c r="C152" s="37"/>
      <c r="D152" s="2" t="s">
        <v>186</v>
      </c>
      <c r="E152" s="2"/>
      <c r="H152" s="38"/>
      <c r="X152" s="141"/>
    </row>
    <row r="153" spans="2:24" ht="5.0999999999999996" customHeight="1" x14ac:dyDescent="0.2">
      <c r="C153" s="37"/>
      <c r="H153" s="38"/>
      <c r="X153" s="141"/>
    </row>
    <row r="154" spans="2:24" x14ac:dyDescent="0.2">
      <c r="C154" s="37"/>
      <c r="D154" s="1" t="s">
        <v>21</v>
      </c>
      <c r="F154" s="8" t="s">
        <v>126</v>
      </c>
      <c r="G154" s="30">
        <v>0.1</v>
      </c>
      <c r="H154" s="222"/>
      <c r="X154" s="141"/>
    </row>
    <row r="155" spans="2:24" x14ac:dyDescent="0.2">
      <c r="C155" s="37"/>
      <c r="D155" s="1" t="s">
        <v>22</v>
      </c>
      <c r="F155" s="8" t="s">
        <v>126</v>
      </c>
      <c r="G155" s="30">
        <v>0.09</v>
      </c>
      <c r="H155" s="222"/>
      <c r="X155" s="141"/>
    </row>
    <row r="156" spans="2:24" x14ac:dyDescent="0.2">
      <c r="C156" s="37"/>
      <c r="D156" s="1" t="s">
        <v>23</v>
      </c>
      <c r="F156" s="8" t="s">
        <v>126</v>
      </c>
      <c r="G156" s="30">
        <v>0.11</v>
      </c>
      <c r="H156" s="222"/>
      <c r="X156" s="141"/>
    </row>
    <row r="157" spans="2:24" ht="5.0999999999999996" customHeight="1" x14ac:dyDescent="0.2">
      <c r="C157" s="37"/>
      <c r="H157" s="38"/>
      <c r="X157" s="141"/>
    </row>
    <row r="158" spans="2:24" x14ac:dyDescent="0.2">
      <c r="C158" s="37"/>
      <c r="D158" s="3" t="s">
        <v>24</v>
      </c>
      <c r="E158" s="3"/>
      <c r="F158" s="3"/>
      <c r="G158" s="142">
        <f>INDEX(G153:G157,MATCH($G$25,$D153:$D157,0))</f>
        <v>0.1</v>
      </c>
      <c r="H158" s="223"/>
      <c r="X158" s="141"/>
    </row>
    <row r="159" spans="2:24" ht="5.0999999999999996" customHeight="1" x14ac:dyDescent="0.2">
      <c r="C159" s="39"/>
      <c r="D159" s="24"/>
      <c r="E159" s="24"/>
      <c r="F159" s="24"/>
      <c r="G159" s="24"/>
      <c r="H159" s="40"/>
      <c r="X159" s="141"/>
    </row>
    <row r="160" spans="2:24" x14ac:dyDescent="0.2">
      <c r="X160" s="141"/>
    </row>
    <row r="161" spans="2:24" ht="5.0999999999999996" customHeight="1" x14ac:dyDescent="0.2">
      <c r="C161" s="35"/>
      <c r="D161" s="4"/>
      <c r="E161" s="4"/>
      <c r="F161" s="4"/>
      <c r="G161" s="4"/>
      <c r="H161" s="36"/>
      <c r="X161" s="141"/>
    </row>
    <row r="162" spans="2:24" x14ac:dyDescent="0.2">
      <c r="C162" s="37"/>
      <c r="D162" s="2" t="s">
        <v>55</v>
      </c>
      <c r="E162" s="2"/>
      <c r="H162" s="38"/>
      <c r="X162" s="141"/>
    </row>
    <row r="163" spans="2:24" ht="5.0999999999999996" customHeight="1" x14ac:dyDescent="0.2">
      <c r="C163" s="37"/>
      <c r="H163" s="38"/>
      <c r="X163" s="141"/>
    </row>
    <row r="164" spans="2:24" x14ac:dyDescent="0.2">
      <c r="C164" s="37"/>
      <c r="D164" s="1" t="s">
        <v>21</v>
      </c>
      <c r="F164" s="8" t="s">
        <v>72</v>
      </c>
      <c r="G164" s="30">
        <v>-0.04</v>
      </c>
      <c r="H164" s="222"/>
      <c r="X164" s="141"/>
    </row>
    <row r="165" spans="2:24" x14ac:dyDescent="0.2">
      <c r="C165" s="37"/>
      <c r="D165" s="1" t="s">
        <v>22</v>
      </c>
      <c r="F165" s="8" t="s">
        <v>72</v>
      </c>
      <c r="G165" s="30">
        <v>-3.7499999999999999E-2</v>
      </c>
      <c r="H165" s="222"/>
      <c r="X165" s="141"/>
    </row>
    <row r="166" spans="2:24" x14ac:dyDescent="0.2">
      <c r="C166" s="37"/>
      <c r="D166" s="1" t="s">
        <v>23</v>
      </c>
      <c r="F166" s="8" t="s">
        <v>72</v>
      </c>
      <c r="G166" s="30">
        <v>-4.2500000000000003E-2</v>
      </c>
      <c r="H166" s="222"/>
      <c r="X166" s="141"/>
    </row>
    <row r="167" spans="2:24" ht="5.0999999999999996" customHeight="1" x14ac:dyDescent="0.2">
      <c r="C167" s="37"/>
      <c r="H167" s="38"/>
      <c r="X167" s="141"/>
    </row>
    <row r="168" spans="2:24" x14ac:dyDescent="0.2">
      <c r="C168" s="37"/>
      <c r="D168" s="3" t="s">
        <v>24</v>
      </c>
      <c r="E168" s="3"/>
      <c r="F168" s="3"/>
      <c r="G168" s="142">
        <f>INDEX(G163:G167,MATCH($G$25,$D163:$D167,0))</f>
        <v>-0.04</v>
      </c>
      <c r="H168" s="223"/>
      <c r="X168" s="141"/>
    </row>
    <row r="169" spans="2:24" ht="5.0999999999999996" customHeight="1" x14ac:dyDescent="0.2">
      <c r="C169" s="39"/>
      <c r="D169" s="24"/>
      <c r="E169" s="202"/>
      <c r="F169" s="202"/>
      <c r="G169" s="24"/>
      <c r="H169" s="40"/>
      <c r="X169" s="141"/>
    </row>
    <row r="170" spans="2:24" x14ac:dyDescent="0.2">
      <c r="E170" s="14"/>
      <c r="F170" s="14"/>
      <c r="X170" s="141"/>
    </row>
    <row r="171" spans="2:24" x14ac:dyDescent="0.2">
      <c r="B171" s="18" t="s">
        <v>110</v>
      </c>
      <c r="C171" s="18"/>
      <c r="D171" s="18"/>
      <c r="X171" s="141"/>
    </row>
    <row r="172" spans="2:24" x14ac:dyDescent="0.2">
      <c r="I172" s="9"/>
      <c r="R172" s="8"/>
      <c r="S172" s="8"/>
      <c r="T172" s="8"/>
      <c r="U172" s="8"/>
      <c r="X172" s="141"/>
    </row>
    <row r="173" spans="2:24" ht="15" x14ac:dyDescent="0.2">
      <c r="D173" s="225"/>
      <c r="E173" s="225"/>
      <c r="F173" s="225"/>
      <c r="G173" s="180"/>
      <c r="H173" s="180"/>
      <c r="I173" s="99" t="s">
        <v>25</v>
      </c>
      <c r="J173" s="99"/>
      <c r="K173" s="99"/>
      <c r="L173" s="99"/>
      <c r="M173" s="99"/>
      <c r="N173" s="99"/>
      <c r="O173" s="99"/>
      <c r="P173" s="99"/>
      <c r="Q173" s="99"/>
      <c r="R173" s="99"/>
      <c r="S173" s="99"/>
      <c r="T173" s="99"/>
      <c r="U173" s="99"/>
      <c r="X173" s="141"/>
    </row>
    <row r="174" spans="2:24" x14ac:dyDescent="0.2">
      <c r="D174" s="225"/>
      <c r="E174" s="225"/>
      <c r="F174" s="180"/>
      <c r="G174" s="180"/>
      <c r="H174" s="180"/>
      <c r="I174" s="100">
        <f>EOMONTH($G$19, $G$24)</f>
        <v>43465</v>
      </c>
      <c r="J174" s="100">
        <f t="shared" ref="J174:U174" si="7">EOMONTH(I174, $G$24)</f>
        <v>43830</v>
      </c>
      <c r="K174" s="100">
        <f t="shared" si="7"/>
        <v>44196</v>
      </c>
      <c r="L174" s="100">
        <f t="shared" si="7"/>
        <v>44561</v>
      </c>
      <c r="M174" s="100">
        <f t="shared" si="7"/>
        <v>44926</v>
      </c>
      <c r="N174" s="100">
        <f t="shared" si="7"/>
        <v>45291</v>
      </c>
      <c r="O174" s="100">
        <f t="shared" si="7"/>
        <v>45657</v>
      </c>
      <c r="P174" s="100">
        <f t="shared" si="7"/>
        <v>46022</v>
      </c>
      <c r="Q174" s="100">
        <f t="shared" si="7"/>
        <v>46387</v>
      </c>
      <c r="R174" s="100">
        <f t="shared" si="7"/>
        <v>46752</v>
      </c>
      <c r="S174" s="100">
        <f t="shared" si="7"/>
        <v>47118</v>
      </c>
      <c r="T174" s="100">
        <f t="shared" si="7"/>
        <v>47483</v>
      </c>
      <c r="U174" s="100">
        <f t="shared" si="7"/>
        <v>47848</v>
      </c>
      <c r="X174" s="141"/>
    </row>
    <row r="175" spans="2:24" x14ac:dyDescent="0.2">
      <c r="D175" s="225"/>
      <c r="E175" s="225"/>
      <c r="F175" s="180" t="s">
        <v>192</v>
      </c>
      <c r="G175" s="180"/>
      <c r="H175" s="180"/>
      <c r="I175" s="101">
        <f>EOMONTH($G$19, $G$24)</f>
        <v>43465</v>
      </c>
      <c r="J175" s="101">
        <f t="shared" ref="J175:U175" si="8">EOMONTH(I175, $G$24)</f>
        <v>43830</v>
      </c>
      <c r="K175" s="101">
        <f t="shared" si="8"/>
        <v>44196</v>
      </c>
      <c r="L175" s="101">
        <f t="shared" si="8"/>
        <v>44561</v>
      </c>
      <c r="M175" s="101">
        <f t="shared" si="8"/>
        <v>44926</v>
      </c>
      <c r="N175" s="101">
        <f t="shared" si="8"/>
        <v>45291</v>
      </c>
      <c r="O175" s="101">
        <f t="shared" si="8"/>
        <v>45657</v>
      </c>
      <c r="P175" s="101">
        <f t="shared" si="8"/>
        <v>46022</v>
      </c>
      <c r="Q175" s="101">
        <f t="shared" si="8"/>
        <v>46387</v>
      </c>
      <c r="R175" s="101">
        <f t="shared" si="8"/>
        <v>46752</v>
      </c>
      <c r="S175" s="101">
        <f t="shared" si="8"/>
        <v>47118</v>
      </c>
      <c r="T175" s="101">
        <f t="shared" si="8"/>
        <v>47483</v>
      </c>
      <c r="U175" s="101">
        <f t="shared" si="8"/>
        <v>47848</v>
      </c>
      <c r="X175" s="141"/>
    </row>
    <row r="176" spans="2:24" x14ac:dyDescent="0.2">
      <c r="X176" s="141"/>
    </row>
    <row r="177" spans="3:24" ht="5.0999999999999996" customHeight="1" x14ac:dyDescent="0.2">
      <c r="C177" s="41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3"/>
      <c r="X177" s="141"/>
    </row>
    <row r="178" spans="3:24" x14ac:dyDescent="0.2">
      <c r="C178" s="44"/>
      <c r="D178" s="45" t="s">
        <v>135</v>
      </c>
      <c r="E178" s="45"/>
      <c r="F178" s="46"/>
      <c r="G178" s="46"/>
      <c r="H178" s="46"/>
      <c r="I178" s="46"/>
      <c r="J178" s="46"/>
      <c r="K178" s="46"/>
      <c r="L178" s="46"/>
      <c r="M178" s="46"/>
      <c r="N178" s="46"/>
      <c r="O178" s="46"/>
      <c r="P178" s="46"/>
      <c r="Q178" s="46"/>
      <c r="R178" s="46"/>
      <c r="S178" s="46"/>
      <c r="T178" s="46"/>
      <c r="U178" s="46"/>
      <c r="V178" s="47"/>
      <c r="X178" s="141"/>
    </row>
    <row r="179" spans="3:24" ht="5.0999999999999996" customHeight="1" x14ac:dyDescent="0.2">
      <c r="C179" s="44"/>
      <c r="D179" s="46"/>
      <c r="E179" s="46"/>
      <c r="F179" s="46"/>
      <c r="G179" s="46"/>
      <c r="H179" s="46"/>
      <c r="I179" s="46"/>
      <c r="J179" s="46"/>
      <c r="K179" s="46"/>
      <c r="L179" s="46"/>
      <c r="M179" s="46"/>
      <c r="N179" s="46"/>
      <c r="O179" s="46"/>
      <c r="P179" s="46"/>
      <c r="Q179" s="46"/>
      <c r="R179" s="46"/>
      <c r="S179" s="46"/>
      <c r="T179" s="46"/>
      <c r="U179" s="46"/>
      <c r="V179" s="47"/>
      <c r="X179" s="141"/>
    </row>
    <row r="180" spans="3:24" x14ac:dyDescent="0.2">
      <c r="C180" s="44"/>
      <c r="D180" s="46" t="s">
        <v>21</v>
      </c>
      <c r="E180" s="46"/>
      <c r="F180" s="48" t="s">
        <v>272</v>
      </c>
      <c r="G180" s="48"/>
      <c r="H180" s="48"/>
      <c r="I180" s="49">
        <v>0.77500000000000002</v>
      </c>
      <c r="J180" s="50">
        <f t="shared" ref="J180:U180" si="9">I180</f>
        <v>0.77500000000000002</v>
      </c>
      <c r="K180" s="50">
        <f t="shared" si="9"/>
        <v>0.77500000000000002</v>
      </c>
      <c r="L180" s="50">
        <f t="shared" si="9"/>
        <v>0.77500000000000002</v>
      </c>
      <c r="M180" s="50">
        <f t="shared" si="9"/>
        <v>0.77500000000000002</v>
      </c>
      <c r="N180" s="50">
        <f t="shared" si="9"/>
        <v>0.77500000000000002</v>
      </c>
      <c r="O180" s="50">
        <f t="shared" si="9"/>
        <v>0.77500000000000002</v>
      </c>
      <c r="P180" s="50">
        <f t="shared" si="9"/>
        <v>0.77500000000000002</v>
      </c>
      <c r="Q180" s="50">
        <f t="shared" si="9"/>
        <v>0.77500000000000002</v>
      </c>
      <c r="R180" s="50">
        <f t="shared" si="9"/>
        <v>0.77500000000000002</v>
      </c>
      <c r="S180" s="50">
        <f t="shared" si="9"/>
        <v>0.77500000000000002</v>
      </c>
      <c r="T180" s="50">
        <f t="shared" si="9"/>
        <v>0.77500000000000002</v>
      </c>
      <c r="U180" s="50">
        <f t="shared" si="9"/>
        <v>0.77500000000000002</v>
      </c>
      <c r="V180" s="47"/>
      <c r="X180" s="141"/>
    </row>
    <row r="181" spans="3:24" x14ac:dyDescent="0.2">
      <c r="C181" s="44"/>
      <c r="D181" s="46" t="s">
        <v>22</v>
      </c>
      <c r="E181" s="46"/>
      <c r="F181" s="48" t="s">
        <v>272</v>
      </c>
      <c r="G181" s="48"/>
      <c r="H181" s="48"/>
      <c r="I181" s="49">
        <v>0.8</v>
      </c>
      <c r="J181" s="50">
        <f t="shared" ref="J181:U182" si="10">I181</f>
        <v>0.8</v>
      </c>
      <c r="K181" s="50">
        <f t="shared" si="10"/>
        <v>0.8</v>
      </c>
      <c r="L181" s="50">
        <f t="shared" si="10"/>
        <v>0.8</v>
      </c>
      <c r="M181" s="50">
        <f t="shared" si="10"/>
        <v>0.8</v>
      </c>
      <c r="N181" s="50">
        <f t="shared" si="10"/>
        <v>0.8</v>
      </c>
      <c r="O181" s="50">
        <f t="shared" si="10"/>
        <v>0.8</v>
      </c>
      <c r="P181" s="50">
        <f t="shared" si="10"/>
        <v>0.8</v>
      </c>
      <c r="Q181" s="50">
        <f t="shared" si="10"/>
        <v>0.8</v>
      </c>
      <c r="R181" s="50">
        <f t="shared" si="10"/>
        <v>0.8</v>
      </c>
      <c r="S181" s="50">
        <f t="shared" si="10"/>
        <v>0.8</v>
      </c>
      <c r="T181" s="50">
        <f t="shared" si="10"/>
        <v>0.8</v>
      </c>
      <c r="U181" s="50">
        <f t="shared" si="10"/>
        <v>0.8</v>
      </c>
      <c r="V181" s="47"/>
      <c r="X181" s="141"/>
    </row>
    <row r="182" spans="3:24" x14ac:dyDescent="0.2">
      <c r="C182" s="44"/>
      <c r="D182" s="46" t="s">
        <v>23</v>
      </c>
      <c r="E182" s="46"/>
      <c r="F182" s="48" t="s">
        <v>272</v>
      </c>
      <c r="G182" s="48"/>
      <c r="H182" s="48"/>
      <c r="I182" s="49">
        <v>0.75</v>
      </c>
      <c r="J182" s="50">
        <f t="shared" si="10"/>
        <v>0.75</v>
      </c>
      <c r="K182" s="50">
        <f t="shared" si="10"/>
        <v>0.75</v>
      </c>
      <c r="L182" s="50">
        <f t="shared" si="10"/>
        <v>0.75</v>
      </c>
      <c r="M182" s="50">
        <f t="shared" si="10"/>
        <v>0.75</v>
      </c>
      <c r="N182" s="50">
        <f t="shared" si="10"/>
        <v>0.75</v>
      </c>
      <c r="O182" s="50">
        <f t="shared" si="10"/>
        <v>0.75</v>
      </c>
      <c r="P182" s="50">
        <f t="shared" si="10"/>
        <v>0.75</v>
      </c>
      <c r="Q182" s="50">
        <f t="shared" si="10"/>
        <v>0.75</v>
      </c>
      <c r="R182" s="50">
        <f t="shared" si="10"/>
        <v>0.75</v>
      </c>
      <c r="S182" s="50">
        <f t="shared" si="10"/>
        <v>0.75</v>
      </c>
      <c r="T182" s="50">
        <f t="shared" si="10"/>
        <v>0.75</v>
      </c>
      <c r="U182" s="50">
        <f t="shared" si="10"/>
        <v>0.75</v>
      </c>
      <c r="V182" s="47"/>
      <c r="X182" s="141"/>
    </row>
    <row r="183" spans="3:24" ht="5.0999999999999996" customHeight="1" x14ac:dyDescent="0.2">
      <c r="C183" s="44"/>
      <c r="D183" s="46"/>
      <c r="E183" s="46"/>
      <c r="F183" s="46"/>
      <c r="G183" s="46"/>
      <c r="H183" s="46"/>
      <c r="I183" s="46"/>
      <c r="J183" s="46"/>
      <c r="K183" s="46"/>
      <c r="L183" s="46"/>
      <c r="M183" s="46"/>
      <c r="N183" s="46"/>
      <c r="O183" s="46"/>
      <c r="P183" s="46"/>
      <c r="Q183" s="46"/>
      <c r="R183" s="46"/>
      <c r="S183" s="46"/>
      <c r="T183" s="46"/>
      <c r="U183" s="46"/>
      <c r="V183" s="47"/>
      <c r="X183" s="141"/>
    </row>
    <row r="184" spans="3:24" x14ac:dyDescent="0.2">
      <c r="C184" s="44"/>
      <c r="D184" s="51" t="s">
        <v>24</v>
      </c>
      <c r="E184" s="51"/>
      <c r="F184" s="51"/>
      <c r="G184" s="51"/>
      <c r="H184" s="51"/>
      <c r="I184" s="52">
        <f t="shared" ref="I184:T184" si="11">INDEX(I179:I183,MATCH($G$25,$D179:$D183,0))</f>
        <v>0.77500000000000002</v>
      </c>
      <c r="J184" s="52">
        <f t="shared" si="11"/>
        <v>0.77500000000000002</v>
      </c>
      <c r="K184" s="52">
        <f t="shared" si="11"/>
        <v>0.77500000000000002</v>
      </c>
      <c r="L184" s="52">
        <f t="shared" si="11"/>
        <v>0.77500000000000002</v>
      </c>
      <c r="M184" s="52">
        <f t="shared" si="11"/>
        <v>0.77500000000000002</v>
      </c>
      <c r="N184" s="52">
        <f t="shared" si="11"/>
        <v>0.77500000000000002</v>
      </c>
      <c r="O184" s="52">
        <f t="shared" si="11"/>
        <v>0.77500000000000002</v>
      </c>
      <c r="P184" s="52">
        <f t="shared" si="11"/>
        <v>0.77500000000000002</v>
      </c>
      <c r="Q184" s="52">
        <f t="shared" si="11"/>
        <v>0.77500000000000002</v>
      </c>
      <c r="R184" s="52">
        <f t="shared" si="11"/>
        <v>0.77500000000000002</v>
      </c>
      <c r="S184" s="52">
        <f t="shared" si="11"/>
        <v>0.77500000000000002</v>
      </c>
      <c r="T184" s="52">
        <f t="shared" si="11"/>
        <v>0.77500000000000002</v>
      </c>
      <c r="U184" s="52">
        <f>INDEX(U179:U183,MATCH($G$25,$D179:$D183,0))</f>
        <v>0.77500000000000002</v>
      </c>
      <c r="V184" s="47"/>
      <c r="X184" s="141"/>
    </row>
    <row r="185" spans="3:24" ht="5.0999999999999996" customHeight="1" x14ac:dyDescent="0.2">
      <c r="C185" s="53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5"/>
      <c r="X185" s="141"/>
    </row>
    <row r="186" spans="3:24" x14ac:dyDescent="0.2">
      <c r="X186" s="141"/>
    </row>
    <row r="187" spans="3:24" ht="5.0999999999999996" customHeight="1" x14ac:dyDescent="0.2">
      <c r="C187" s="41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3"/>
      <c r="X187" s="141"/>
    </row>
    <row r="188" spans="3:24" x14ac:dyDescent="0.2">
      <c r="C188" s="44"/>
      <c r="D188" s="45" t="s">
        <v>112</v>
      </c>
      <c r="E188" s="45"/>
      <c r="F188" s="48"/>
      <c r="G188" s="48"/>
      <c r="H188" s="48"/>
      <c r="I188" s="46"/>
      <c r="J188" s="46"/>
      <c r="K188" s="46"/>
      <c r="L188" s="46"/>
      <c r="M188" s="46"/>
      <c r="N188" s="46"/>
      <c r="O188" s="46"/>
      <c r="P188" s="46"/>
      <c r="Q188" s="46"/>
      <c r="R188" s="46"/>
      <c r="S188" s="46"/>
      <c r="T188" s="46"/>
      <c r="U188" s="46"/>
      <c r="V188" s="47"/>
      <c r="X188" s="141"/>
    </row>
    <row r="189" spans="3:24" ht="5.0999999999999996" customHeight="1" x14ac:dyDescent="0.2">
      <c r="C189" s="44"/>
      <c r="D189" s="46"/>
      <c r="E189" s="46"/>
      <c r="F189" s="46"/>
      <c r="G189" s="46"/>
      <c r="H189" s="46"/>
      <c r="I189" s="46"/>
      <c r="J189" s="46"/>
      <c r="K189" s="46"/>
      <c r="L189" s="46"/>
      <c r="M189" s="46"/>
      <c r="N189" s="46"/>
      <c r="O189" s="46"/>
      <c r="P189" s="46"/>
      <c r="Q189" s="46"/>
      <c r="R189" s="46"/>
      <c r="S189" s="46"/>
      <c r="T189" s="46"/>
      <c r="U189" s="46"/>
      <c r="V189" s="47"/>
      <c r="X189" s="141"/>
    </row>
    <row r="190" spans="3:24" x14ac:dyDescent="0.2">
      <c r="C190" s="44"/>
      <c r="D190" s="46" t="s">
        <v>21</v>
      </c>
      <c r="E190" s="46"/>
      <c r="F190" s="48" t="s">
        <v>111</v>
      </c>
      <c r="G190" s="48"/>
      <c r="H190" s="48"/>
      <c r="I190" s="49">
        <v>1</v>
      </c>
      <c r="J190" s="50">
        <f t="shared" ref="J190:U190" si="12">I190</f>
        <v>1</v>
      </c>
      <c r="K190" s="50">
        <f t="shared" si="12"/>
        <v>1</v>
      </c>
      <c r="L190" s="50">
        <f t="shared" si="12"/>
        <v>1</v>
      </c>
      <c r="M190" s="50">
        <f t="shared" si="12"/>
        <v>1</v>
      </c>
      <c r="N190" s="50">
        <f t="shared" si="12"/>
        <v>1</v>
      </c>
      <c r="O190" s="50">
        <f t="shared" si="12"/>
        <v>1</v>
      </c>
      <c r="P190" s="50">
        <f t="shared" si="12"/>
        <v>1</v>
      </c>
      <c r="Q190" s="50">
        <f t="shared" si="12"/>
        <v>1</v>
      </c>
      <c r="R190" s="50">
        <f t="shared" si="12"/>
        <v>1</v>
      </c>
      <c r="S190" s="50">
        <f t="shared" si="12"/>
        <v>1</v>
      </c>
      <c r="T190" s="50">
        <f t="shared" si="12"/>
        <v>1</v>
      </c>
      <c r="U190" s="50">
        <f t="shared" si="12"/>
        <v>1</v>
      </c>
      <c r="V190" s="47"/>
      <c r="X190" s="141"/>
    </row>
    <row r="191" spans="3:24" x14ac:dyDescent="0.2">
      <c r="C191" s="44"/>
      <c r="D191" s="46" t="s">
        <v>22</v>
      </c>
      <c r="E191" s="46"/>
      <c r="F191" s="48" t="s">
        <v>111</v>
      </c>
      <c r="G191" s="48"/>
      <c r="H191" s="48"/>
      <c r="I191" s="49">
        <v>1.02</v>
      </c>
      <c r="J191" s="50">
        <f t="shared" ref="J191:U191" si="13">I191</f>
        <v>1.02</v>
      </c>
      <c r="K191" s="50">
        <f t="shared" si="13"/>
        <v>1.02</v>
      </c>
      <c r="L191" s="50">
        <f t="shared" si="13"/>
        <v>1.02</v>
      </c>
      <c r="M191" s="50">
        <f t="shared" si="13"/>
        <v>1.02</v>
      </c>
      <c r="N191" s="50">
        <f t="shared" si="13"/>
        <v>1.02</v>
      </c>
      <c r="O191" s="50">
        <f t="shared" si="13"/>
        <v>1.02</v>
      </c>
      <c r="P191" s="50">
        <f t="shared" si="13"/>
        <v>1.02</v>
      </c>
      <c r="Q191" s="50">
        <f t="shared" si="13"/>
        <v>1.02</v>
      </c>
      <c r="R191" s="50">
        <f t="shared" si="13"/>
        <v>1.02</v>
      </c>
      <c r="S191" s="50">
        <f t="shared" si="13"/>
        <v>1.02</v>
      </c>
      <c r="T191" s="50">
        <f t="shared" si="13"/>
        <v>1.02</v>
      </c>
      <c r="U191" s="50">
        <f t="shared" si="13"/>
        <v>1.02</v>
      </c>
      <c r="V191" s="47"/>
      <c r="X191" s="141"/>
    </row>
    <row r="192" spans="3:24" x14ac:dyDescent="0.2">
      <c r="C192" s="44"/>
      <c r="D192" s="46" t="s">
        <v>23</v>
      </c>
      <c r="E192" s="46"/>
      <c r="F192" s="48" t="s">
        <v>111</v>
      </c>
      <c r="G192" s="48"/>
      <c r="H192" s="48"/>
      <c r="I192" s="49">
        <v>0.98</v>
      </c>
      <c r="J192" s="50">
        <f t="shared" ref="J192:U192" si="14">I192</f>
        <v>0.98</v>
      </c>
      <c r="K192" s="50">
        <f t="shared" si="14"/>
        <v>0.98</v>
      </c>
      <c r="L192" s="50">
        <f t="shared" si="14"/>
        <v>0.98</v>
      </c>
      <c r="M192" s="50">
        <f t="shared" si="14"/>
        <v>0.98</v>
      </c>
      <c r="N192" s="50">
        <f t="shared" si="14"/>
        <v>0.98</v>
      </c>
      <c r="O192" s="50">
        <f t="shared" si="14"/>
        <v>0.98</v>
      </c>
      <c r="P192" s="50">
        <f t="shared" si="14"/>
        <v>0.98</v>
      </c>
      <c r="Q192" s="50">
        <f t="shared" si="14"/>
        <v>0.98</v>
      </c>
      <c r="R192" s="50">
        <f t="shared" si="14"/>
        <v>0.98</v>
      </c>
      <c r="S192" s="50">
        <f t="shared" si="14"/>
        <v>0.98</v>
      </c>
      <c r="T192" s="50">
        <f t="shared" si="14"/>
        <v>0.98</v>
      </c>
      <c r="U192" s="50">
        <f t="shared" si="14"/>
        <v>0.98</v>
      </c>
      <c r="V192" s="47"/>
      <c r="X192" s="141"/>
    </row>
    <row r="193" spans="3:24" ht="5.0999999999999996" customHeight="1" x14ac:dyDescent="0.2">
      <c r="C193" s="44"/>
      <c r="D193" s="46"/>
      <c r="E193" s="46"/>
      <c r="F193" s="46"/>
      <c r="G193" s="46"/>
      <c r="H193" s="46"/>
      <c r="I193" s="46"/>
      <c r="J193" s="46"/>
      <c r="K193" s="46"/>
      <c r="L193" s="46"/>
      <c r="M193" s="46"/>
      <c r="N193" s="46"/>
      <c r="O193" s="46"/>
      <c r="P193" s="46"/>
      <c r="Q193" s="46"/>
      <c r="R193" s="46"/>
      <c r="S193" s="46"/>
      <c r="T193" s="46"/>
      <c r="U193" s="46"/>
      <c r="V193" s="47"/>
      <c r="X193" s="141"/>
    </row>
    <row r="194" spans="3:24" x14ac:dyDescent="0.2">
      <c r="C194" s="44"/>
      <c r="D194" s="51" t="s">
        <v>24</v>
      </c>
      <c r="E194" s="51"/>
      <c r="F194" s="51"/>
      <c r="G194" s="51"/>
      <c r="H194" s="51"/>
      <c r="I194" s="52">
        <f t="shared" ref="I194:T194" si="15">INDEX(I189:I193,MATCH($G$25,$D189:$D193,0))</f>
        <v>1</v>
      </c>
      <c r="J194" s="52">
        <f t="shared" si="15"/>
        <v>1</v>
      </c>
      <c r="K194" s="52">
        <f t="shared" si="15"/>
        <v>1</v>
      </c>
      <c r="L194" s="52">
        <f t="shared" si="15"/>
        <v>1</v>
      </c>
      <c r="M194" s="52">
        <f t="shared" si="15"/>
        <v>1</v>
      </c>
      <c r="N194" s="52">
        <f t="shared" si="15"/>
        <v>1</v>
      </c>
      <c r="O194" s="52">
        <f t="shared" si="15"/>
        <v>1</v>
      </c>
      <c r="P194" s="52">
        <f t="shared" si="15"/>
        <v>1</v>
      </c>
      <c r="Q194" s="52">
        <f t="shared" si="15"/>
        <v>1</v>
      </c>
      <c r="R194" s="52">
        <f t="shared" si="15"/>
        <v>1</v>
      </c>
      <c r="S194" s="52">
        <f t="shared" si="15"/>
        <v>1</v>
      </c>
      <c r="T194" s="52">
        <f t="shared" si="15"/>
        <v>1</v>
      </c>
      <c r="U194" s="52">
        <f>INDEX(U189:U193,MATCH($G$25,$D189:$D193,0))</f>
        <v>1</v>
      </c>
      <c r="V194" s="47"/>
      <c r="X194" s="141"/>
    </row>
    <row r="195" spans="3:24" ht="5.0999999999999996" customHeight="1" x14ac:dyDescent="0.2">
      <c r="C195" s="53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5"/>
      <c r="X195" s="141"/>
    </row>
    <row r="196" spans="3:24" x14ac:dyDescent="0.2">
      <c r="X196" s="141"/>
    </row>
    <row r="197" spans="3:24" ht="5.0999999999999996" customHeight="1" x14ac:dyDescent="0.2">
      <c r="C197" s="41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3"/>
      <c r="X197" s="141"/>
    </row>
    <row r="198" spans="3:24" x14ac:dyDescent="0.2">
      <c r="C198" s="44"/>
      <c r="D198" s="45" t="s">
        <v>35</v>
      </c>
      <c r="E198" s="45"/>
      <c r="F198" s="46"/>
      <c r="G198" s="46"/>
      <c r="H198" s="46"/>
      <c r="I198" s="46"/>
      <c r="J198" s="46"/>
      <c r="K198" s="46"/>
      <c r="L198" s="46"/>
      <c r="M198" s="46"/>
      <c r="N198" s="46"/>
      <c r="O198" s="46"/>
      <c r="P198" s="46"/>
      <c r="Q198" s="46"/>
      <c r="R198" s="46"/>
      <c r="S198" s="46"/>
      <c r="T198" s="46"/>
      <c r="U198" s="46"/>
      <c r="V198" s="47"/>
      <c r="X198" s="141"/>
    </row>
    <row r="199" spans="3:24" ht="5.0999999999999996" customHeight="1" x14ac:dyDescent="0.2">
      <c r="C199" s="44"/>
      <c r="D199" s="46"/>
      <c r="E199" s="46"/>
      <c r="F199" s="46"/>
      <c r="G199" s="46"/>
      <c r="H199" s="46"/>
      <c r="I199" s="46"/>
      <c r="J199" s="46"/>
      <c r="K199" s="46"/>
      <c r="L199" s="46"/>
      <c r="M199" s="46"/>
      <c r="N199" s="46"/>
      <c r="O199" s="46"/>
      <c r="P199" s="46"/>
      <c r="Q199" s="46"/>
      <c r="R199" s="46"/>
      <c r="S199" s="46"/>
      <c r="T199" s="46"/>
      <c r="U199" s="46"/>
      <c r="V199" s="47"/>
      <c r="X199" s="141"/>
    </row>
    <row r="200" spans="3:24" x14ac:dyDescent="0.2">
      <c r="C200" s="44"/>
      <c r="D200" s="46" t="s">
        <v>21</v>
      </c>
      <c r="E200" s="46"/>
      <c r="F200" s="48" t="s">
        <v>273</v>
      </c>
      <c r="G200" s="48"/>
      <c r="H200" s="48"/>
      <c r="I200" s="56">
        <v>200</v>
      </c>
      <c r="J200" s="57">
        <f>I200*(1+J220)</f>
        <v>204</v>
      </c>
      <c r="K200" s="57">
        <f t="shared" ref="K200:U200" si="16">J200*(1+K220)</f>
        <v>208.08</v>
      </c>
      <c r="L200" s="57">
        <f t="shared" si="16"/>
        <v>212.24160000000001</v>
      </c>
      <c r="M200" s="57">
        <f t="shared" si="16"/>
        <v>216.48643200000001</v>
      </c>
      <c r="N200" s="57">
        <f t="shared" si="16"/>
        <v>220.81616064000002</v>
      </c>
      <c r="O200" s="57">
        <f t="shared" si="16"/>
        <v>225.23248385280002</v>
      </c>
      <c r="P200" s="57">
        <f t="shared" si="16"/>
        <v>229.73713352985601</v>
      </c>
      <c r="Q200" s="57">
        <f t="shared" si="16"/>
        <v>234.33187620045314</v>
      </c>
      <c r="R200" s="57">
        <f t="shared" si="16"/>
        <v>239.0185137244622</v>
      </c>
      <c r="S200" s="57">
        <f t="shared" si="16"/>
        <v>243.79888399895145</v>
      </c>
      <c r="T200" s="57">
        <f t="shared" si="16"/>
        <v>248.67486167893048</v>
      </c>
      <c r="U200" s="57">
        <f t="shared" si="16"/>
        <v>253.64835891250911</v>
      </c>
      <c r="V200" s="47"/>
      <c r="X200" s="141"/>
    </row>
    <row r="201" spans="3:24" x14ac:dyDescent="0.2">
      <c r="C201" s="44"/>
      <c r="D201" s="46" t="s">
        <v>22</v>
      </c>
      <c r="E201" s="46"/>
      <c r="F201" s="48" t="s">
        <v>273</v>
      </c>
      <c r="G201" s="48"/>
      <c r="H201" s="48"/>
      <c r="I201" s="56">
        <v>210</v>
      </c>
      <c r="J201" s="57">
        <f>I201*(1+J221)</f>
        <v>214.20000000000002</v>
      </c>
      <c r="K201" s="57">
        <f t="shared" ref="K201:U201" si="17">J201*(1+K221)</f>
        <v>218.48400000000001</v>
      </c>
      <c r="L201" s="57">
        <f t="shared" si="17"/>
        <v>222.85368000000003</v>
      </c>
      <c r="M201" s="57">
        <f t="shared" si="17"/>
        <v>227.31075360000003</v>
      </c>
      <c r="N201" s="57">
        <f t="shared" si="17"/>
        <v>231.85696867200002</v>
      </c>
      <c r="O201" s="57">
        <f t="shared" si="17"/>
        <v>236.49410804544002</v>
      </c>
      <c r="P201" s="57">
        <f t="shared" si="17"/>
        <v>241.22399020634882</v>
      </c>
      <c r="Q201" s="57">
        <f t="shared" si="17"/>
        <v>246.0484700104758</v>
      </c>
      <c r="R201" s="57">
        <f t="shared" si="17"/>
        <v>250.96943941068531</v>
      </c>
      <c r="S201" s="57">
        <f t="shared" si="17"/>
        <v>255.98882819889903</v>
      </c>
      <c r="T201" s="57">
        <f t="shared" si="17"/>
        <v>261.10860476287701</v>
      </c>
      <c r="U201" s="57">
        <f t="shared" si="17"/>
        <v>266.33077685813453</v>
      </c>
      <c r="V201" s="47"/>
      <c r="X201" s="141"/>
    </row>
    <row r="202" spans="3:24" x14ac:dyDescent="0.2">
      <c r="C202" s="44"/>
      <c r="D202" s="46" t="s">
        <v>23</v>
      </c>
      <c r="E202" s="46"/>
      <c r="F202" s="48" t="s">
        <v>273</v>
      </c>
      <c r="G202" s="48"/>
      <c r="H202" s="48"/>
      <c r="I202" s="56">
        <v>190</v>
      </c>
      <c r="J202" s="57">
        <f>I202*(1+J222)</f>
        <v>193.8</v>
      </c>
      <c r="K202" s="57">
        <f t="shared" ref="K202:U202" si="18">J202*(1+K222)</f>
        <v>197.67600000000002</v>
      </c>
      <c r="L202" s="57">
        <f t="shared" si="18"/>
        <v>201.62952000000001</v>
      </c>
      <c r="M202" s="57">
        <f t="shared" si="18"/>
        <v>205.66211040000002</v>
      </c>
      <c r="N202" s="57">
        <f t="shared" si="18"/>
        <v>209.77535260800002</v>
      </c>
      <c r="O202" s="57">
        <f t="shared" si="18"/>
        <v>213.97085966016002</v>
      </c>
      <c r="P202" s="57">
        <f t="shared" si="18"/>
        <v>218.25027685336323</v>
      </c>
      <c r="Q202" s="57">
        <f t="shared" si="18"/>
        <v>222.61528239043051</v>
      </c>
      <c r="R202" s="57">
        <f t="shared" si="18"/>
        <v>227.06758803823911</v>
      </c>
      <c r="S202" s="57">
        <f t="shared" si="18"/>
        <v>231.60893979900391</v>
      </c>
      <c r="T202" s="57">
        <f t="shared" si="18"/>
        <v>236.24111859498399</v>
      </c>
      <c r="U202" s="57">
        <f t="shared" si="18"/>
        <v>240.96594096688366</v>
      </c>
      <c r="V202" s="47"/>
      <c r="X202" s="141"/>
    </row>
    <row r="203" spans="3:24" ht="5.0999999999999996" customHeight="1" x14ac:dyDescent="0.2">
      <c r="C203" s="44"/>
      <c r="D203" s="46"/>
      <c r="E203" s="46"/>
      <c r="F203" s="46"/>
      <c r="G203" s="46"/>
      <c r="H203" s="46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57"/>
      <c r="U203" s="57"/>
      <c r="V203" s="47"/>
      <c r="X203" s="141"/>
    </row>
    <row r="204" spans="3:24" x14ac:dyDescent="0.2">
      <c r="C204" s="44"/>
      <c r="D204" s="51" t="s">
        <v>24</v>
      </c>
      <c r="E204" s="51"/>
      <c r="F204" s="51"/>
      <c r="G204" s="51"/>
      <c r="H204" s="51"/>
      <c r="I204" s="58">
        <f t="shared" ref="I204:T204" si="19">INDEX(I199:I203,MATCH($G$25,$D199:$D203,0))</f>
        <v>200</v>
      </c>
      <c r="J204" s="58">
        <f t="shared" si="19"/>
        <v>204</v>
      </c>
      <c r="K204" s="58">
        <f t="shared" si="19"/>
        <v>208.08</v>
      </c>
      <c r="L204" s="58">
        <f t="shared" si="19"/>
        <v>212.24160000000001</v>
      </c>
      <c r="M204" s="58">
        <f t="shared" si="19"/>
        <v>216.48643200000001</v>
      </c>
      <c r="N204" s="58">
        <f t="shared" si="19"/>
        <v>220.81616064000002</v>
      </c>
      <c r="O204" s="58">
        <f t="shared" si="19"/>
        <v>225.23248385280002</v>
      </c>
      <c r="P204" s="58">
        <f t="shared" si="19"/>
        <v>229.73713352985601</v>
      </c>
      <c r="Q204" s="58">
        <f t="shared" si="19"/>
        <v>234.33187620045314</v>
      </c>
      <c r="R204" s="58">
        <f t="shared" si="19"/>
        <v>239.0185137244622</v>
      </c>
      <c r="S204" s="58">
        <f t="shared" si="19"/>
        <v>243.79888399895145</v>
      </c>
      <c r="T204" s="58">
        <f t="shared" si="19"/>
        <v>248.67486167893048</v>
      </c>
      <c r="U204" s="58">
        <f>INDEX(U199:U203,MATCH($G$25,$D199:$D203,0))</f>
        <v>253.64835891250911</v>
      </c>
      <c r="V204" s="47"/>
      <c r="X204" s="141"/>
    </row>
    <row r="205" spans="3:24" ht="5.0999999999999996" customHeight="1" x14ac:dyDescent="0.2">
      <c r="C205" s="53"/>
      <c r="D205" s="54"/>
      <c r="E205" s="54"/>
      <c r="F205" s="54"/>
      <c r="G205" s="54"/>
      <c r="H205" s="54"/>
      <c r="I205" s="54"/>
      <c r="J205" s="54"/>
      <c r="K205" s="54"/>
      <c r="L205" s="54"/>
      <c r="M205" s="54"/>
      <c r="N205" s="54"/>
      <c r="O205" s="54"/>
      <c r="P205" s="54"/>
      <c r="Q205" s="54"/>
      <c r="R205" s="54"/>
      <c r="S205" s="54"/>
      <c r="T205" s="54"/>
      <c r="U205" s="54"/>
      <c r="V205" s="55"/>
      <c r="X205" s="141"/>
    </row>
    <row r="206" spans="3:24" x14ac:dyDescent="0.2">
      <c r="X206" s="141"/>
    </row>
    <row r="207" spans="3:24" ht="5.0999999999999996" customHeight="1" x14ac:dyDescent="0.2">
      <c r="C207" s="41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3"/>
      <c r="X207" s="141"/>
    </row>
    <row r="208" spans="3:24" x14ac:dyDescent="0.2">
      <c r="C208" s="44"/>
      <c r="D208" s="45" t="s">
        <v>115</v>
      </c>
      <c r="E208" s="45"/>
      <c r="F208" s="46"/>
      <c r="G208" s="46"/>
      <c r="H208" s="46"/>
      <c r="I208" s="46"/>
      <c r="J208" s="46"/>
      <c r="K208" s="46"/>
      <c r="L208" s="46"/>
      <c r="M208" s="46"/>
      <c r="N208" s="46"/>
      <c r="O208" s="46"/>
      <c r="P208" s="46"/>
      <c r="Q208" s="46"/>
      <c r="R208" s="46"/>
      <c r="S208" s="46"/>
      <c r="T208" s="46"/>
      <c r="U208" s="46"/>
      <c r="V208" s="47"/>
      <c r="X208" s="141"/>
    </row>
    <row r="209" spans="3:24" ht="5.0999999999999996" customHeight="1" x14ac:dyDescent="0.2">
      <c r="C209" s="44"/>
      <c r="D209" s="46"/>
      <c r="E209" s="46"/>
      <c r="F209" s="46"/>
      <c r="G209" s="46"/>
      <c r="H209" s="46"/>
      <c r="I209" s="46"/>
      <c r="J209" s="46"/>
      <c r="K209" s="46"/>
      <c r="L209" s="46"/>
      <c r="M209" s="46"/>
      <c r="N209" s="46"/>
      <c r="O209" s="46"/>
      <c r="P209" s="46"/>
      <c r="Q209" s="46"/>
      <c r="R209" s="46"/>
      <c r="S209" s="46"/>
      <c r="T209" s="46"/>
      <c r="U209" s="46"/>
      <c r="V209" s="47"/>
      <c r="X209" s="141"/>
    </row>
    <row r="210" spans="3:24" x14ac:dyDescent="0.2">
      <c r="C210" s="44"/>
      <c r="D210" s="46" t="s">
        <v>21</v>
      </c>
      <c r="E210" s="46"/>
      <c r="F210" s="48" t="s">
        <v>116</v>
      </c>
      <c r="G210" s="48"/>
      <c r="H210" s="48"/>
      <c r="I210" s="49">
        <v>1</v>
      </c>
      <c r="J210" s="50">
        <f t="shared" ref="J210:U210" si="20">I210</f>
        <v>1</v>
      </c>
      <c r="K210" s="50">
        <f t="shared" si="20"/>
        <v>1</v>
      </c>
      <c r="L210" s="50">
        <f t="shared" si="20"/>
        <v>1</v>
      </c>
      <c r="M210" s="50">
        <f t="shared" si="20"/>
        <v>1</v>
      </c>
      <c r="N210" s="50">
        <f t="shared" si="20"/>
        <v>1</v>
      </c>
      <c r="O210" s="50">
        <f t="shared" si="20"/>
        <v>1</v>
      </c>
      <c r="P210" s="50">
        <f t="shared" si="20"/>
        <v>1</v>
      </c>
      <c r="Q210" s="50">
        <f t="shared" si="20"/>
        <v>1</v>
      </c>
      <c r="R210" s="50">
        <f t="shared" si="20"/>
        <v>1</v>
      </c>
      <c r="S210" s="50">
        <f t="shared" si="20"/>
        <v>1</v>
      </c>
      <c r="T210" s="50">
        <f t="shared" si="20"/>
        <v>1</v>
      </c>
      <c r="U210" s="50">
        <f t="shared" si="20"/>
        <v>1</v>
      </c>
      <c r="V210" s="47"/>
      <c r="X210" s="141"/>
    </row>
    <row r="211" spans="3:24" x14ac:dyDescent="0.2">
      <c r="C211" s="44"/>
      <c r="D211" s="46" t="s">
        <v>22</v>
      </c>
      <c r="E211" s="46"/>
      <c r="F211" s="48" t="s">
        <v>116</v>
      </c>
      <c r="G211" s="48"/>
      <c r="H211" s="48"/>
      <c r="I211" s="49">
        <v>1.02</v>
      </c>
      <c r="J211" s="50">
        <f t="shared" ref="J211:U211" si="21">I211</f>
        <v>1.02</v>
      </c>
      <c r="K211" s="50">
        <f t="shared" si="21"/>
        <v>1.02</v>
      </c>
      <c r="L211" s="50">
        <f t="shared" si="21"/>
        <v>1.02</v>
      </c>
      <c r="M211" s="50">
        <f t="shared" si="21"/>
        <v>1.02</v>
      </c>
      <c r="N211" s="50">
        <f t="shared" si="21"/>
        <v>1.02</v>
      </c>
      <c r="O211" s="50">
        <f t="shared" si="21"/>
        <v>1.02</v>
      </c>
      <c r="P211" s="50">
        <f t="shared" si="21"/>
        <v>1.02</v>
      </c>
      <c r="Q211" s="50">
        <f t="shared" si="21"/>
        <v>1.02</v>
      </c>
      <c r="R211" s="50">
        <f t="shared" si="21"/>
        <v>1.02</v>
      </c>
      <c r="S211" s="50">
        <f t="shared" si="21"/>
        <v>1.02</v>
      </c>
      <c r="T211" s="50">
        <f t="shared" si="21"/>
        <v>1.02</v>
      </c>
      <c r="U211" s="50">
        <f t="shared" si="21"/>
        <v>1.02</v>
      </c>
      <c r="V211" s="47"/>
      <c r="X211" s="141"/>
    </row>
    <row r="212" spans="3:24" x14ac:dyDescent="0.2">
      <c r="C212" s="44"/>
      <c r="D212" s="46" t="s">
        <v>23</v>
      </c>
      <c r="E212" s="46"/>
      <c r="F212" s="48" t="s">
        <v>116</v>
      </c>
      <c r="G212" s="48"/>
      <c r="H212" s="48"/>
      <c r="I212" s="49">
        <v>0.98</v>
      </c>
      <c r="J212" s="50">
        <f t="shared" ref="J212:U212" si="22">I212</f>
        <v>0.98</v>
      </c>
      <c r="K212" s="50">
        <f t="shared" si="22"/>
        <v>0.98</v>
      </c>
      <c r="L212" s="50">
        <f t="shared" si="22"/>
        <v>0.98</v>
      </c>
      <c r="M212" s="50">
        <f t="shared" si="22"/>
        <v>0.98</v>
      </c>
      <c r="N212" s="50">
        <f t="shared" si="22"/>
        <v>0.98</v>
      </c>
      <c r="O212" s="50">
        <f t="shared" si="22"/>
        <v>0.98</v>
      </c>
      <c r="P212" s="50">
        <f t="shared" si="22"/>
        <v>0.98</v>
      </c>
      <c r="Q212" s="50">
        <f t="shared" si="22"/>
        <v>0.98</v>
      </c>
      <c r="R212" s="50">
        <f t="shared" si="22"/>
        <v>0.98</v>
      </c>
      <c r="S212" s="50">
        <f t="shared" si="22"/>
        <v>0.98</v>
      </c>
      <c r="T212" s="50">
        <f t="shared" si="22"/>
        <v>0.98</v>
      </c>
      <c r="U212" s="50">
        <f t="shared" si="22"/>
        <v>0.98</v>
      </c>
      <c r="V212" s="47"/>
      <c r="X212" s="141"/>
    </row>
    <row r="213" spans="3:24" ht="5.0999999999999996" customHeight="1" x14ac:dyDescent="0.2">
      <c r="C213" s="44"/>
      <c r="D213" s="46"/>
      <c r="E213" s="46"/>
      <c r="F213" s="46"/>
      <c r="G213" s="46"/>
      <c r="H213" s="46"/>
      <c r="I213" s="46"/>
      <c r="J213" s="46"/>
      <c r="K213" s="46"/>
      <c r="L213" s="46"/>
      <c r="M213" s="46"/>
      <c r="N213" s="46"/>
      <c r="O213" s="46"/>
      <c r="P213" s="46"/>
      <c r="Q213" s="46"/>
      <c r="R213" s="46"/>
      <c r="S213" s="46"/>
      <c r="T213" s="46"/>
      <c r="U213" s="46"/>
      <c r="V213" s="47"/>
      <c r="X213" s="141"/>
    </row>
    <row r="214" spans="3:24" x14ac:dyDescent="0.2">
      <c r="C214" s="44"/>
      <c r="D214" s="51" t="s">
        <v>24</v>
      </c>
      <c r="E214" s="51"/>
      <c r="F214" s="51"/>
      <c r="G214" s="51"/>
      <c r="H214" s="51"/>
      <c r="I214" s="52">
        <f t="shared" ref="I214:T214" si="23">INDEX(I209:I213,MATCH($G$25,$D209:$D213,0))</f>
        <v>1</v>
      </c>
      <c r="J214" s="52">
        <f t="shared" si="23"/>
        <v>1</v>
      </c>
      <c r="K214" s="52">
        <f t="shared" si="23"/>
        <v>1</v>
      </c>
      <c r="L214" s="52">
        <f t="shared" si="23"/>
        <v>1</v>
      </c>
      <c r="M214" s="52">
        <f t="shared" si="23"/>
        <v>1</v>
      </c>
      <c r="N214" s="52">
        <f t="shared" si="23"/>
        <v>1</v>
      </c>
      <c r="O214" s="52">
        <f t="shared" si="23"/>
        <v>1</v>
      </c>
      <c r="P214" s="52">
        <f t="shared" si="23"/>
        <v>1</v>
      </c>
      <c r="Q214" s="52">
        <f t="shared" si="23"/>
        <v>1</v>
      </c>
      <c r="R214" s="52">
        <f t="shared" si="23"/>
        <v>1</v>
      </c>
      <c r="S214" s="52">
        <f t="shared" si="23"/>
        <v>1</v>
      </c>
      <c r="T214" s="52">
        <f t="shared" si="23"/>
        <v>1</v>
      </c>
      <c r="U214" s="52">
        <f>INDEX(U209:U213,MATCH($G$25,$D209:$D213,0))</f>
        <v>1</v>
      </c>
      <c r="V214" s="47"/>
      <c r="X214" s="141"/>
    </row>
    <row r="215" spans="3:24" ht="5.0999999999999996" customHeight="1" x14ac:dyDescent="0.2">
      <c r="C215" s="53"/>
      <c r="D215" s="54"/>
      <c r="E215" s="54"/>
      <c r="F215" s="54"/>
      <c r="G215" s="54"/>
      <c r="H215" s="54"/>
      <c r="I215" s="54"/>
      <c r="J215" s="54"/>
      <c r="K215" s="54"/>
      <c r="L215" s="54"/>
      <c r="M215" s="54"/>
      <c r="N215" s="54"/>
      <c r="O215" s="54"/>
      <c r="P215" s="54"/>
      <c r="Q215" s="54"/>
      <c r="R215" s="54"/>
      <c r="S215" s="54"/>
      <c r="T215" s="54"/>
      <c r="U215" s="54"/>
      <c r="V215" s="55"/>
      <c r="X215" s="141"/>
    </row>
    <row r="216" spans="3:24" x14ac:dyDescent="0.2">
      <c r="X216" s="141"/>
    </row>
    <row r="217" spans="3:24" ht="5.0999999999999996" customHeight="1" x14ac:dyDescent="0.2">
      <c r="C217" s="41"/>
      <c r="D217" s="42"/>
      <c r="E217" s="42"/>
      <c r="F217" s="42"/>
      <c r="G217" s="42"/>
      <c r="H217" s="42"/>
      <c r="I217" s="42"/>
      <c r="J217" s="42"/>
      <c r="K217" s="42"/>
      <c r="L217" s="42"/>
      <c r="M217" s="42"/>
      <c r="N217" s="42"/>
      <c r="O217" s="42"/>
      <c r="P217" s="42"/>
      <c r="Q217" s="42"/>
      <c r="R217" s="42"/>
      <c r="S217" s="42"/>
      <c r="T217" s="42"/>
      <c r="U217" s="42"/>
      <c r="V217" s="43"/>
      <c r="X217" s="141"/>
    </row>
    <row r="218" spans="3:24" x14ac:dyDescent="0.2">
      <c r="C218" s="44"/>
      <c r="D218" s="45" t="s">
        <v>28</v>
      </c>
      <c r="E218" s="45"/>
      <c r="F218" s="46"/>
      <c r="G218" s="46"/>
      <c r="H218" s="46"/>
      <c r="I218" s="46"/>
      <c r="J218" s="46"/>
      <c r="K218" s="46"/>
      <c r="L218" s="46"/>
      <c r="M218" s="46"/>
      <c r="N218" s="46"/>
      <c r="O218" s="46"/>
      <c r="P218" s="46"/>
      <c r="Q218" s="46"/>
      <c r="R218" s="46"/>
      <c r="S218" s="46"/>
      <c r="T218" s="46"/>
      <c r="U218" s="46"/>
      <c r="V218" s="47"/>
      <c r="X218" s="141"/>
    </row>
    <row r="219" spans="3:24" ht="5.0999999999999996" customHeight="1" x14ac:dyDescent="0.2">
      <c r="C219" s="44"/>
      <c r="D219" s="46"/>
      <c r="E219" s="46"/>
      <c r="F219" s="46"/>
      <c r="G219" s="46"/>
      <c r="H219" s="46"/>
      <c r="I219" s="46"/>
      <c r="J219" s="46"/>
      <c r="K219" s="46"/>
      <c r="L219" s="46"/>
      <c r="M219" s="46"/>
      <c r="N219" s="46"/>
      <c r="O219" s="46"/>
      <c r="P219" s="46"/>
      <c r="Q219" s="46"/>
      <c r="R219" s="46"/>
      <c r="S219" s="46"/>
      <c r="T219" s="46"/>
      <c r="U219" s="46"/>
      <c r="V219" s="47"/>
      <c r="X219" s="141"/>
    </row>
    <row r="220" spans="3:24" x14ac:dyDescent="0.2">
      <c r="C220" s="44"/>
      <c r="D220" s="46" t="s">
        <v>21</v>
      </c>
      <c r="E220" s="46"/>
      <c r="F220" s="48" t="s">
        <v>196</v>
      </c>
      <c r="G220" s="48"/>
      <c r="H220" s="48"/>
      <c r="I220" s="59" t="s">
        <v>37</v>
      </c>
      <c r="J220" s="49">
        <v>0.02</v>
      </c>
      <c r="K220" s="49">
        <v>0.02</v>
      </c>
      <c r="L220" s="49">
        <v>0.02</v>
      </c>
      <c r="M220" s="49">
        <v>0.02</v>
      </c>
      <c r="N220" s="49">
        <v>0.02</v>
      </c>
      <c r="O220" s="49">
        <v>0.02</v>
      </c>
      <c r="P220" s="49">
        <v>0.02</v>
      </c>
      <c r="Q220" s="49">
        <v>0.02</v>
      </c>
      <c r="R220" s="49">
        <v>0.02</v>
      </c>
      <c r="S220" s="49">
        <v>0.02</v>
      </c>
      <c r="T220" s="49">
        <v>0.02</v>
      </c>
      <c r="U220" s="49">
        <v>0.02</v>
      </c>
      <c r="V220" s="47"/>
      <c r="X220" s="141"/>
    </row>
    <row r="221" spans="3:24" x14ac:dyDescent="0.2">
      <c r="C221" s="44"/>
      <c r="D221" s="46" t="s">
        <v>22</v>
      </c>
      <c r="E221" s="46"/>
      <c r="F221" s="48" t="s">
        <v>196</v>
      </c>
      <c r="G221" s="48"/>
      <c r="H221" s="48"/>
      <c r="I221" s="59" t="s">
        <v>37</v>
      </c>
      <c r="J221" s="49">
        <v>0.02</v>
      </c>
      <c r="K221" s="49">
        <v>0.02</v>
      </c>
      <c r="L221" s="49">
        <v>0.02</v>
      </c>
      <c r="M221" s="49">
        <v>0.02</v>
      </c>
      <c r="N221" s="49">
        <v>0.02</v>
      </c>
      <c r="O221" s="49">
        <v>0.02</v>
      </c>
      <c r="P221" s="49">
        <v>0.02</v>
      </c>
      <c r="Q221" s="49">
        <v>0.02</v>
      </c>
      <c r="R221" s="49">
        <v>0.02</v>
      </c>
      <c r="S221" s="49">
        <v>0.02</v>
      </c>
      <c r="T221" s="49">
        <v>0.02</v>
      </c>
      <c r="U221" s="49">
        <v>0.02</v>
      </c>
      <c r="V221" s="47"/>
      <c r="X221" s="141"/>
    </row>
    <row r="222" spans="3:24" x14ac:dyDescent="0.2">
      <c r="C222" s="44"/>
      <c r="D222" s="46" t="s">
        <v>23</v>
      </c>
      <c r="E222" s="46"/>
      <c r="F222" s="48" t="s">
        <v>196</v>
      </c>
      <c r="G222" s="48"/>
      <c r="H222" s="48"/>
      <c r="I222" s="59" t="s">
        <v>37</v>
      </c>
      <c r="J222" s="49">
        <v>0.02</v>
      </c>
      <c r="K222" s="49">
        <v>0.02</v>
      </c>
      <c r="L222" s="49">
        <v>0.02</v>
      </c>
      <c r="M222" s="49">
        <v>0.02</v>
      </c>
      <c r="N222" s="49">
        <v>0.02</v>
      </c>
      <c r="O222" s="49">
        <v>0.02</v>
      </c>
      <c r="P222" s="49">
        <v>0.02</v>
      </c>
      <c r="Q222" s="49">
        <v>0.02</v>
      </c>
      <c r="R222" s="49">
        <v>0.02</v>
      </c>
      <c r="S222" s="49">
        <v>0.02</v>
      </c>
      <c r="T222" s="49">
        <v>0.02</v>
      </c>
      <c r="U222" s="49">
        <v>0.02</v>
      </c>
      <c r="V222" s="47"/>
      <c r="X222" s="141"/>
    </row>
    <row r="223" spans="3:24" ht="5.0999999999999996" customHeight="1" x14ac:dyDescent="0.2">
      <c r="C223" s="44"/>
      <c r="D223" s="46"/>
      <c r="E223" s="46"/>
      <c r="F223" s="46"/>
      <c r="G223" s="46"/>
      <c r="H223" s="46"/>
      <c r="I223" s="46"/>
      <c r="J223" s="46"/>
      <c r="K223" s="46"/>
      <c r="L223" s="46"/>
      <c r="M223" s="46"/>
      <c r="N223" s="46"/>
      <c r="O223" s="46"/>
      <c r="P223" s="46"/>
      <c r="Q223" s="46"/>
      <c r="R223" s="46"/>
      <c r="S223" s="46"/>
      <c r="T223" s="46"/>
      <c r="U223" s="46"/>
      <c r="V223" s="47"/>
      <c r="X223" s="141"/>
    </row>
    <row r="224" spans="3:24" x14ac:dyDescent="0.2">
      <c r="C224" s="44"/>
      <c r="D224" s="51" t="s">
        <v>24</v>
      </c>
      <c r="E224" s="51"/>
      <c r="F224" s="51"/>
      <c r="G224" s="51"/>
      <c r="H224" s="51"/>
      <c r="I224" s="60" t="str">
        <f t="shared" ref="I224:T224" si="24">INDEX(I219:I223,MATCH($G$25,$D219:$D223,0))</f>
        <v>---</v>
      </c>
      <c r="J224" s="52">
        <f t="shared" si="24"/>
        <v>0.02</v>
      </c>
      <c r="K224" s="52">
        <f t="shared" si="24"/>
        <v>0.02</v>
      </c>
      <c r="L224" s="52">
        <f t="shared" si="24"/>
        <v>0.02</v>
      </c>
      <c r="M224" s="52">
        <f t="shared" si="24"/>
        <v>0.02</v>
      </c>
      <c r="N224" s="52">
        <f t="shared" si="24"/>
        <v>0.02</v>
      </c>
      <c r="O224" s="52">
        <f t="shared" si="24"/>
        <v>0.02</v>
      </c>
      <c r="P224" s="52">
        <f t="shared" si="24"/>
        <v>0.02</v>
      </c>
      <c r="Q224" s="52">
        <f t="shared" si="24"/>
        <v>0.02</v>
      </c>
      <c r="R224" s="52">
        <f t="shared" si="24"/>
        <v>0.02</v>
      </c>
      <c r="S224" s="52">
        <f t="shared" si="24"/>
        <v>0.02</v>
      </c>
      <c r="T224" s="52">
        <f t="shared" si="24"/>
        <v>0.02</v>
      </c>
      <c r="U224" s="52">
        <f>INDEX(U219:U223,MATCH($G$25,$D219:$D223,0))</f>
        <v>0.02</v>
      </c>
      <c r="V224" s="47"/>
      <c r="X224" s="141"/>
    </row>
    <row r="225" spans="3:24" ht="5.0999999999999996" customHeight="1" x14ac:dyDescent="0.2">
      <c r="C225" s="53"/>
      <c r="D225" s="54"/>
      <c r="E225" s="54"/>
      <c r="F225" s="54"/>
      <c r="G225" s="54"/>
      <c r="H225" s="54"/>
      <c r="I225" s="54"/>
      <c r="J225" s="54"/>
      <c r="K225" s="54"/>
      <c r="L225" s="54"/>
      <c r="M225" s="54"/>
      <c r="N225" s="54"/>
      <c r="O225" s="54"/>
      <c r="P225" s="54"/>
      <c r="Q225" s="54"/>
      <c r="R225" s="54"/>
      <c r="S225" s="54"/>
      <c r="T225" s="54"/>
      <c r="U225" s="54"/>
      <c r="V225" s="55"/>
      <c r="X225" s="141"/>
    </row>
    <row r="226" spans="3:24" x14ac:dyDescent="0.2">
      <c r="X226" s="141"/>
    </row>
    <row r="227" spans="3:24" ht="5.0999999999999996" customHeight="1" x14ac:dyDescent="0.2">
      <c r="C227" s="41"/>
      <c r="D227" s="42"/>
      <c r="E227" s="42"/>
      <c r="F227" s="42"/>
      <c r="G227" s="42"/>
      <c r="H227" s="42"/>
      <c r="I227" s="42"/>
      <c r="J227" s="42"/>
      <c r="K227" s="42"/>
      <c r="L227" s="42"/>
      <c r="M227" s="42"/>
      <c r="N227" s="42"/>
      <c r="O227" s="42"/>
      <c r="P227" s="42"/>
      <c r="Q227" s="42"/>
      <c r="R227" s="42"/>
      <c r="S227" s="42"/>
      <c r="T227" s="42"/>
      <c r="U227" s="42"/>
      <c r="V227" s="43"/>
      <c r="X227" s="141"/>
    </row>
    <row r="228" spans="3:24" x14ac:dyDescent="0.2">
      <c r="C228" s="44"/>
      <c r="D228" s="45" t="s">
        <v>133</v>
      </c>
      <c r="E228" s="45"/>
      <c r="F228" s="46"/>
      <c r="G228" s="46"/>
      <c r="H228" s="46"/>
      <c r="I228" s="46"/>
      <c r="J228" s="46"/>
      <c r="K228" s="46"/>
      <c r="L228" s="46"/>
      <c r="M228" s="46"/>
      <c r="N228" s="46"/>
      <c r="O228" s="46"/>
      <c r="P228" s="46"/>
      <c r="Q228" s="46"/>
      <c r="R228" s="46"/>
      <c r="S228" s="46"/>
      <c r="T228" s="46"/>
      <c r="U228" s="46"/>
      <c r="V228" s="47"/>
      <c r="X228" s="141"/>
    </row>
    <row r="229" spans="3:24" ht="5.0999999999999996" customHeight="1" x14ac:dyDescent="0.2">
      <c r="C229" s="44"/>
      <c r="D229" s="46"/>
      <c r="E229" s="46"/>
      <c r="F229" s="46"/>
      <c r="G229" s="46"/>
      <c r="H229" s="46"/>
      <c r="I229" s="46"/>
      <c r="J229" s="46"/>
      <c r="K229" s="46"/>
      <c r="L229" s="46"/>
      <c r="M229" s="46"/>
      <c r="N229" s="46"/>
      <c r="O229" s="46"/>
      <c r="P229" s="46"/>
      <c r="Q229" s="46"/>
      <c r="R229" s="46"/>
      <c r="S229" s="46"/>
      <c r="T229" s="46"/>
      <c r="U229" s="46"/>
      <c r="V229" s="47"/>
      <c r="X229" s="141"/>
    </row>
    <row r="230" spans="3:24" x14ac:dyDescent="0.2">
      <c r="C230" s="44"/>
      <c r="D230" s="46" t="s">
        <v>21</v>
      </c>
      <c r="E230" s="46"/>
      <c r="F230" s="48" t="s">
        <v>273</v>
      </c>
      <c r="G230" s="48"/>
      <c r="H230" s="48"/>
      <c r="I230" s="56">
        <v>50</v>
      </c>
      <c r="J230" s="61">
        <f t="shared" ref="J230:U230" si="25">I230*(1+J250)</f>
        <v>51</v>
      </c>
      <c r="K230" s="61">
        <f t="shared" si="25"/>
        <v>52.02</v>
      </c>
      <c r="L230" s="61">
        <f t="shared" si="25"/>
        <v>53.060400000000001</v>
      </c>
      <c r="M230" s="61">
        <f t="shared" si="25"/>
        <v>54.121608000000002</v>
      </c>
      <c r="N230" s="61">
        <f t="shared" si="25"/>
        <v>55.204040160000005</v>
      </c>
      <c r="O230" s="61">
        <f t="shared" si="25"/>
        <v>56.308120963200004</v>
      </c>
      <c r="P230" s="61">
        <f t="shared" si="25"/>
        <v>57.434283382464002</v>
      </c>
      <c r="Q230" s="61">
        <f t="shared" si="25"/>
        <v>58.582969050113284</v>
      </c>
      <c r="R230" s="61">
        <f t="shared" si="25"/>
        <v>59.754628431115549</v>
      </c>
      <c r="S230" s="61">
        <f t="shared" si="25"/>
        <v>60.949720999737863</v>
      </c>
      <c r="T230" s="61">
        <f t="shared" si="25"/>
        <v>62.168715419732621</v>
      </c>
      <c r="U230" s="61">
        <f t="shared" si="25"/>
        <v>63.412089728127278</v>
      </c>
      <c r="V230" s="47"/>
      <c r="X230" s="141"/>
    </row>
    <row r="231" spans="3:24" x14ac:dyDescent="0.2">
      <c r="C231" s="44"/>
      <c r="D231" s="46" t="s">
        <v>22</v>
      </c>
      <c r="E231" s="46"/>
      <c r="F231" s="48" t="s">
        <v>273</v>
      </c>
      <c r="G231" s="48"/>
      <c r="H231" s="48"/>
      <c r="I231" s="56">
        <v>52</v>
      </c>
      <c r="J231" s="61">
        <f t="shared" ref="J231:U231" si="26">I231*(1+J251)</f>
        <v>53.04</v>
      </c>
      <c r="K231" s="61">
        <f t="shared" si="26"/>
        <v>54.1008</v>
      </c>
      <c r="L231" s="61">
        <f t="shared" si="26"/>
        <v>55.182816000000003</v>
      </c>
      <c r="M231" s="61">
        <f t="shared" si="26"/>
        <v>56.286472320000001</v>
      </c>
      <c r="N231" s="61">
        <f t="shared" si="26"/>
        <v>57.412201766400003</v>
      </c>
      <c r="O231" s="61">
        <f t="shared" si="26"/>
        <v>58.560445801728001</v>
      </c>
      <c r="P231" s="61">
        <f t="shared" si="26"/>
        <v>59.731654717762559</v>
      </c>
      <c r="Q231" s="61">
        <f t="shared" si="26"/>
        <v>60.926287812117813</v>
      </c>
      <c r="R231" s="61">
        <f t="shared" si="26"/>
        <v>62.144813568360171</v>
      </c>
      <c r="S231" s="61">
        <f t="shared" si="26"/>
        <v>63.387709839727378</v>
      </c>
      <c r="T231" s="61">
        <f t="shared" si="26"/>
        <v>64.65546403652192</v>
      </c>
      <c r="U231" s="61">
        <f t="shared" si="26"/>
        <v>65.948573317252354</v>
      </c>
      <c r="V231" s="47"/>
      <c r="X231" s="141"/>
    </row>
    <row r="232" spans="3:24" x14ac:dyDescent="0.2">
      <c r="C232" s="44"/>
      <c r="D232" s="46" t="s">
        <v>23</v>
      </c>
      <c r="E232" s="46"/>
      <c r="F232" s="48" t="s">
        <v>273</v>
      </c>
      <c r="G232" s="48"/>
      <c r="H232" s="48"/>
      <c r="I232" s="56">
        <v>48</v>
      </c>
      <c r="J232" s="61">
        <f t="shared" ref="J232:U232" si="27">I232*(1+J252)</f>
        <v>48.96</v>
      </c>
      <c r="K232" s="61">
        <f t="shared" si="27"/>
        <v>49.9392</v>
      </c>
      <c r="L232" s="61">
        <f t="shared" si="27"/>
        <v>50.937984</v>
      </c>
      <c r="M232" s="61">
        <f t="shared" si="27"/>
        <v>51.956743680000002</v>
      </c>
      <c r="N232" s="61">
        <f t="shared" si="27"/>
        <v>52.995878553600001</v>
      </c>
      <c r="O232" s="61">
        <f t="shared" si="27"/>
        <v>54.055796124672</v>
      </c>
      <c r="P232" s="61">
        <f t="shared" si="27"/>
        <v>55.136912047165438</v>
      </c>
      <c r="Q232" s="61">
        <f t="shared" si="27"/>
        <v>56.239650288108749</v>
      </c>
      <c r="R232" s="61">
        <f t="shared" si="27"/>
        <v>57.364443293870927</v>
      </c>
      <c r="S232" s="61">
        <f t="shared" si="27"/>
        <v>58.511732159748348</v>
      </c>
      <c r="T232" s="61">
        <f t="shared" si="27"/>
        <v>59.681966802943315</v>
      </c>
      <c r="U232" s="61">
        <f t="shared" si="27"/>
        <v>60.87560613900218</v>
      </c>
      <c r="V232" s="47"/>
      <c r="X232" s="141"/>
    </row>
    <row r="233" spans="3:24" ht="5.0999999999999996" customHeight="1" x14ac:dyDescent="0.2">
      <c r="C233" s="44"/>
      <c r="D233" s="46"/>
      <c r="E233" s="46"/>
      <c r="F233" s="46"/>
      <c r="G233" s="46"/>
      <c r="H233" s="46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47"/>
      <c r="X233" s="141"/>
    </row>
    <row r="234" spans="3:24" x14ac:dyDescent="0.2">
      <c r="C234" s="44"/>
      <c r="D234" s="51" t="s">
        <v>24</v>
      </c>
      <c r="E234" s="51"/>
      <c r="F234" s="51"/>
      <c r="G234" s="51"/>
      <c r="H234" s="51"/>
      <c r="I234" s="58">
        <f t="shared" ref="I234:T234" si="28">INDEX(I229:I233,MATCH($G$25,$D229:$D233,0))</f>
        <v>50</v>
      </c>
      <c r="J234" s="58">
        <f t="shared" si="28"/>
        <v>51</v>
      </c>
      <c r="K234" s="58">
        <f t="shared" si="28"/>
        <v>52.02</v>
      </c>
      <c r="L234" s="58">
        <f t="shared" si="28"/>
        <v>53.060400000000001</v>
      </c>
      <c r="M234" s="58">
        <f t="shared" si="28"/>
        <v>54.121608000000002</v>
      </c>
      <c r="N234" s="58">
        <f t="shared" si="28"/>
        <v>55.204040160000005</v>
      </c>
      <c r="O234" s="58">
        <f t="shared" si="28"/>
        <v>56.308120963200004</v>
      </c>
      <c r="P234" s="58">
        <f t="shared" si="28"/>
        <v>57.434283382464002</v>
      </c>
      <c r="Q234" s="58">
        <f t="shared" si="28"/>
        <v>58.582969050113284</v>
      </c>
      <c r="R234" s="58">
        <f t="shared" si="28"/>
        <v>59.754628431115549</v>
      </c>
      <c r="S234" s="58">
        <f t="shared" si="28"/>
        <v>60.949720999737863</v>
      </c>
      <c r="T234" s="58">
        <f t="shared" si="28"/>
        <v>62.168715419732621</v>
      </c>
      <c r="U234" s="58">
        <f>INDEX(U229:U233,MATCH($G$25,$D229:$D233,0))</f>
        <v>63.412089728127278</v>
      </c>
      <c r="V234" s="47"/>
      <c r="X234" s="141"/>
    </row>
    <row r="235" spans="3:24" ht="5.0999999999999996" customHeight="1" x14ac:dyDescent="0.2">
      <c r="C235" s="53"/>
      <c r="D235" s="54"/>
      <c r="E235" s="54"/>
      <c r="F235" s="54"/>
      <c r="G235" s="54"/>
      <c r="H235" s="54"/>
      <c r="I235" s="54"/>
      <c r="J235" s="54"/>
      <c r="K235" s="54"/>
      <c r="L235" s="54"/>
      <c r="M235" s="54"/>
      <c r="N235" s="54"/>
      <c r="O235" s="54"/>
      <c r="P235" s="54"/>
      <c r="Q235" s="54"/>
      <c r="R235" s="54"/>
      <c r="S235" s="54"/>
      <c r="T235" s="54"/>
      <c r="U235" s="54"/>
      <c r="V235" s="55"/>
      <c r="X235" s="141"/>
    </row>
    <row r="236" spans="3:24" x14ac:dyDescent="0.2">
      <c r="X236" s="141"/>
    </row>
    <row r="237" spans="3:24" ht="5.0999999999999996" customHeight="1" x14ac:dyDescent="0.2">
      <c r="C237" s="41"/>
      <c r="D237" s="42"/>
      <c r="E237" s="42"/>
      <c r="F237" s="42"/>
      <c r="G237" s="42"/>
      <c r="H237" s="42"/>
      <c r="I237" s="42"/>
      <c r="J237" s="42"/>
      <c r="K237" s="42"/>
      <c r="L237" s="42"/>
      <c r="M237" s="42"/>
      <c r="N237" s="42"/>
      <c r="O237" s="42"/>
      <c r="P237" s="42"/>
      <c r="Q237" s="42"/>
      <c r="R237" s="42"/>
      <c r="S237" s="42"/>
      <c r="T237" s="42"/>
      <c r="U237" s="42"/>
      <c r="V237" s="43"/>
      <c r="X237" s="141"/>
    </row>
    <row r="238" spans="3:24" x14ac:dyDescent="0.2">
      <c r="C238" s="44"/>
      <c r="D238" s="45" t="s">
        <v>134</v>
      </c>
      <c r="E238" s="45"/>
      <c r="F238" s="46"/>
      <c r="G238" s="46"/>
      <c r="H238" s="46"/>
      <c r="I238" s="46"/>
      <c r="J238" s="46"/>
      <c r="K238" s="46"/>
      <c r="L238" s="46"/>
      <c r="M238" s="46"/>
      <c r="N238" s="46"/>
      <c r="O238" s="46"/>
      <c r="P238" s="46"/>
      <c r="Q238" s="46"/>
      <c r="R238" s="46"/>
      <c r="S238" s="46"/>
      <c r="T238" s="46"/>
      <c r="U238" s="46"/>
      <c r="V238" s="47"/>
      <c r="X238" s="141"/>
    </row>
    <row r="239" spans="3:24" ht="5.0999999999999996" customHeight="1" x14ac:dyDescent="0.2">
      <c r="C239" s="44"/>
      <c r="D239" s="46"/>
      <c r="E239" s="46"/>
      <c r="F239" s="46"/>
      <c r="G239" s="46"/>
      <c r="H239" s="46"/>
      <c r="I239" s="46"/>
      <c r="J239" s="46"/>
      <c r="K239" s="46"/>
      <c r="L239" s="46"/>
      <c r="M239" s="46"/>
      <c r="N239" s="46"/>
      <c r="O239" s="46"/>
      <c r="P239" s="46"/>
      <c r="Q239" s="46"/>
      <c r="R239" s="46"/>
      <c r="S239" s="46"/>
      <c r="T239" s="46"/>
      <c r="U239" s="46"/>
      <c r="V239" s="47"/>
      <c r="X239" s="141"/>
    </row>
    <row r="240" spans="3:24" x14ac:dyDescent="0.2">
      <c r="C240" s="44"/>
      <c r="D240" s="46" t="s">
        <v>21</v>
      </c>
      <c r="E240" s="46"/>
      <c r="F240" s="48" t="s">
        <v>273</v>
      </c>
      <c r="G240" s="48"/>
      <c r="H240" s="48"/>
      <c r="I240" s="56">
        <v>20</v>
      </c>
      <c r="J240" s="61">
        <f t="shared" ref="J240:U240" si="29">I240*(1+J250)</f>
        <v>20.399999999999999</v>
      </c>
      <c r="K240" s="61">
        <f t="shared" si="29"/>
        <v>20.808</v>
      </c>
      <c r="L240" s="61">
        <f t="shared" si="29"/>
        <v>21.224160000000001</v>
      </c>
      <c r="M240" s="61">
        <f t="shared" si="29"/>
        <v>21.648643200000002</v>
      </c>
      <c r="N240" s="61">
        <f t="shared" si="29"/>
        <v>22.081616064000002</v>
      </c>
      <c r="O240" s="61">
        <f t="shared" si="29"/>
        <v>22.523248385280002</v>
      </c>
      <c r="P240" s="61">
        <f t="shared" si="29"/>
        <v>22.973713352985602</v>
      </c>
      <c r="Q240" s="61">
        <f t="shared" si="29"/>
        <v>23.433187620045313</v>
      </c>
      <c r="R240" s="61">
        <f t="shared" si="29"/>
        <v>23.90185137244622</v>
      </c>
      <c r="S240" s="61">
        <f t="shared" si="29"/>
        <v>24.379888399895144</v>
      </c>
      <c r="T240" s="61">
        <f t="shared" si="29"/>
        <v>24.867486167893048</v>
      </c>
      <c r="U240" s="61">
        <f t="shared" si="29"/>
        <v>25.364835891250909</v>
      </c>
      <c r="V240" s="47"/>
      <c r="X240" s="141"/>
    </row>
    <row r="241" spans="3:24" x14ac:dyDescent="0.2">
      <c r="C241" s="44"/>
      <c r="D241" s="46" t="s">
        <v>22</v>
      </c>
      <c r="E241" s="46"/>
      <c r="F241" s="48" t="s">
        <v>273</v>
      </c>
      <c r="G241" s="48"/>
      <c r="H241" s="48"/>
      <c r="I241" s="56">
        <v>22</v>
      </c>
      <c r="J241" s="61">
        <f t="shared" ref="J241:U241" si="30">I241*(1+J251)</f>
        <v>22.44</v>
      </c>
      <c r="K241" s="61">
        <f t="shared" si="30"/>
        <v>22.888800000000003</v>
      </c>
      <c r="L241" s="61">
        <f t="shared" si="30"/>
        <v>23.346576000000002</v>
      </c>
      <c r="M241" s="61">
        <f t="shared" si="30"/>
        <v>23.813507520000002</v>
      </c>
      <c r="N241" s="61">
        <f t="shared" si="30"/>
        <v>24.289777670400003</v>
      </c>
      <c r="O241" s="61">
        <f t="shared" si="30"/>
        <v>24.775573223808003</v>
      </c>
      <c r="P241" s="61">
        <f t="shared" si="30"/>
        <v>25.271084688284162</v>
      </c>
      <c r="Q241" s="61">
        <f t="shared" si="30"/>
        <v>25.776506382049845</v>
      </c>
      <c r="R241" s="61">
        <f t="shared" si="30"/>
        <v>26.292036509690842</v>
      </c>
      <c r="S241" s="61">
        <f t="shared" si="30"/>
        <v>26.817877239884659</v>
      </c>
      <c r="T241" s="61">
        <f t="shared" si="30"/>
        <v>27.354234784682351</v>
      </c>
      <c r="U241" s="61">
        <f t="shared" si="30"/>
        <v>27.901319480375999</v>
      </c>
      <c r="V241" s="47"/>
      <c r="X241" s="141"/>
    </row>
    <row r="242" spans="3:24" x14ac:dyDescent="0.2">
      <c r="C242" s="44"/>
      <c r="D242" s="46" t="s">
        <v>23</v>
      </c>
      <c r="E242" s="46"/>
      <c r="F242" s="48" t="s">
        <v>273</v>
      </c>
      <c r="G242" s="48"/>
      <c r="H242" s="48"/>
      <c r="I242" s="56">
        <v>18</v>
      </c>
      <c r="J242" s="61">
        <f t="shared" ref="J242:U242" si="31">I242*(1+J252)</f>
        <v>18.36</v>
      </c>
      <c r="K242" s="61">
        <f t="shared" si="31"/>
        <v>18.7272</v>
      </c>
      <c r="L242" s="61">
        <f t="shared" si="31"/>
        <v>19.101744</v>
      </c>
      <c r="M242" s="61">
        <f t="shared" si="31"/>
        <v>19.483778879999999</v>
      </c>
      <c r="N242" s="61">
        <f t="shared" si="31"/>
        <v>19.873454457600001</v>
      </c>
      <c r="O242" s="61">
        <f t="shared" si="31"/>
        <v>20.270923546752002</v>
      </c>
      <c r="P242" s="61">
        <f t="shared" si="31"/>
        <v>20.676342017687041</v>
      </c>
      <c r="Q242" s="61">
        <f t="shared" si="31"/>
        <v>21.089868858040781</v>
      </c>
      <c r="R242" s="61">
        <f t="shared" si="31"/>
        <v>21.511666235201595</v>
      </c>
      <c r="S242" s="61">
        <f t="shared" si="31"/>
        <v>21.941899559905629</v>
      </c>
      <c r="T242" s="61">
        <f t="shared" si="31"/>
        <v>22.380737551103742</v>
      </c>
      <c r="U242" s="61">
        <f t="shared" si="31"/>
        <v>22.828352302125818</v>
      </c>
      <c r="V242" s="47"/>
      <c r="X242" s="141"/>
    </row>
    <row r="243" spans="3:24" ht="5.0999999999999996" customHeight="1" x14ac:dyDescent="0.2">
      <c r="C243" s="44"/>
      <c r="D243" s="46"/>
      <c r="E243" s="46"/>
      <c r="F243" s="46"/>
      <c r="G243" s="46"/>
      <c r="H243" s="46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47"/>
      <c r="X243" s="141"/>
    </row>
    <row r="244" spans="3:24" x14ac:dyDescent="0.2">
      <c r="C244" s="44"/>
      <c r="D244" s="51" t="s">
        <v>24</v>
      </c>
      <c r="E244" s="51"/>
      <c r="F244" s="51"/>
      <c r="G244" s="51"/>
      <c r="H244" s="51"/>
      <c r="I244" s="58">
        <f t="shared" ref="I244:T244" si="32">INDEX(I239:I243,MATCH($G$25,$D239:$D243,0))</f>
        <v>20</v>
      </c>
      <c r="J244" s="58">
        <f t="shared" si="32"/>
        <v>20.399999999999999</v>
      </c>
      <c r="K244" s="58">
        <f t="shared" si="32"/>
        <v>20.808</v>
      </c>
      <c r="L244" s="58">
        <f t="shared" si="32"/>
        <v>21.224160000000001</v>
      </c>
      <c r="M244" s="58">
        <f t="shared" si="32"/>
        <v>21.648643200000002</v>
      </c>
      <c r="N244" s="58">
        <f t="shared" si="32"/>
        <v>22.081616064000002</v>
      </c>
      <c r="O244" s="58">
        <f t="shared" si="32"/>
        <v>22.523248385280002</v>
      </c>
      <c r="P244" s="58">
        <f t="shared" si="32"/>
        <v>22.973713352985602</v>
      </c>
      <c r="Q244" s="58">
        <f t="shared" si="32"/>
        <v>23.433187620045313</v>
      </c>
      <c r="R244" s="58">
        <f t="shared" si="32"/>
        <v>23.90185137244622</v>
      </c>
      <c r="S244" s="58">
        <f t="shared" si="32"/>
        <v>24.379888399895144</v>
      </c>
      <c r="T244" s="58">
        <f t="shared" si="32"/>
        <v>24.867486167893048</v>
      </c>
      <c r="U244" s="58">
        <f>INDEX(U239:U243,MATCH($G$25,$D239:$D243,0))</f>
        <v>25.364835891250909</v>
      </c>
      <c r="V244" s="47"/>
      <c r="X244" s="141"/>
    </row>
    <row r="245" spans="3:24" ht="5.0999999999999996" customHeight="1" x14ac:dyDescent="0.2">
      <c r="C245" s="53"/>
      <c r="D245" s="54"/>
      <c r="E245" s="54"/>
      <c r="F245" s="54"/>
      <c r="G245" s="54"/>
      <c r="H245" s="54"/>
      <c r="I245" s="54"/>
      <c r="J245" s="54"/>
      <c r="K245" s="54"/>
      <c r="L245" s="54"/>
      <c r="M245" s="54"/>
      <c r="N245" s="54"/>
      <c r="O245" s="54"/>
      <c r="P245" s="54"/>
      <c r="Q245" s="54"/>
      <c r="R245" s="54"/>
      <c r="S245" s="54"/>
      <c r="T245" s="54"/>
      <c r="U245" s="54"/>
      <c r="V245" s="55"/>
      <c r="X245" s="141"/>
    </row>
    <row r="246" spans="3:24" x14ac:dyDescent="0.2">
      <c r="X246" s="141"/>
    </row>
    <row r="247" spans="3:24" ht="5.0999999999999996" customHeight="1" x14ac:dyDescent="0.2">
      <c r="C247" s="41"/>
      <c r="D247" s="42"/>
      <c r="E247" s="42"/>
      <c r="F247" s="42"/>
      <c r="G247" s="42"/>
      <c r="H247" s="42"/>
      <c r="I247" s="42"/>
      <c r="J247" s="42"/>
      <c r="K247" s="42"/>
      <c r="L247" s="42"/>
      <c r="M247" s="42"/>
      <c r="N247" s="42"/>
      <c r="O247" s="42"/>
      <c r="P247" s="42"/>
      <c r="Q247" s="42"/>
      <c r="R247" s="42"/>
      <c r="S247" s="42"/>
      <c r="T247" s="42"/>
      <c r="U247" s="42"/>
      <c r="V247" s="43"/>
      <c r="X247" s="141"/>
    </row>
    <row r="248" spans="3:24" x14ac:dyDescent="0.2">
      <c r="C248" s="44"/>
      <c r="D248" s="45" t="s">
        <v>38</v>
      </c>
      <c r="E248" s="45"/>
      <c r="F248" s="46"/>
      <c r="G248" s="46"/>
      <c r="H248" s="46"/>
      <c r="I248" s="46"/>
      <c r="J248" s="46"/>
      <c r="K248" s="46"/>
      <c r="L248" s="46"/>
      <c r="M248" s="46"/>
      <c r="N248" s="46"/>
      <c r="O248" s="46"/>
      <c r="P248" s="46"/>
      <c r="Q248" s="46"/>
      <c r="R248" s="46"/>
      <c r="S248" s="46"/>
      <c r="T248" s="46"/>
      <c r="U248" s="46"/>
      <c r="V248" s="47"/>
      <c r="X248" s="141"/>
    </row>
    <row r="249" spans="3:24" ht="5.0999999999999996" customHeight="1" x14ac:dyDescent="0.2">
      <c r="C249" s="44"/>
      <c r="D249" s="46"/>
      <c r="E249" s="46"/>
      <c r="F249" s="46"/>
      <c r="G249" s="46"/>
      <c r="H249" s="46"/>
      <c r="I249" s="46"/>
      <c r="J249" s="46"/>
      <c r="K249" s="46"/>
      <c r="L249" s="46"/>
      <c r="M249" s="46"/>
      <c r="N249" s="46"/>
      <c r="O249" s="46"/>
      <c r="P249" s="46"/>
      <c r="Q249" s="46"/>
      <c r="R249" s="46"/>
      <c r="S249" s="46"/>
      <c r="T249" s="46"/>
      <c r="U249" s="46"/>
      <c r="V249" s="47"/>
      <c r="X249" s="141"/>
    </row>
    <row r="250" spans="3:24" x14ac:dyDescent="0.2">
      <c r="C250" s="44"/>
      <c r="D250" s="46" t="s">
        <v>21</v>
      </c>
      <c r="E250" s="46"/>
      <c r="F250" s="48" t="s">
        <v>196</v>
      </c>
      <c r="G250" s="48"/>
      <c r="H250" s="48"/>
      <c r="I250" s="59" t="s">
        <v>37</v>
      </c>
      <c r="J250" s="49">
        <v>0.02</v>
      </c>
      <c r="K250" s="49">
        <v>0.02</v>
      </c>
      <c r="L250" s="49">
        <v>0.02</v>
      </c>
      <c r="M250" s="49">
        <v>0.02</v>
      </c>
      <c r="N250" s="49">
        <v>0.02</v>
      </c>
      <c r="O250" s="49">
        <v>0.02</v>
      </c>
      <c r="P250" s="49">
        <v>0.02</v>
      </c>
      <c r="Q250" s="49">
        <v>0.02</v>
      </c>
      <c r="R250" s="49">
        <v>0.02</v>
      </c>
      <c r="S250" s="49">
        <v>0.02</v>
      </c>
      <c r="T250" s="49">
        <v>0.02</v>
      </c>
      <c r="U250" s="49">
        <v>0.02</v>
      </c>
      <c r="V250" s="47"/>
      <c r="X250" s="141"/>
    </row>
    <row r="251" spans="3:24" x14ac:dyDescent="0.2">
      <c r="C251" s="44"/>
      <c r="D251" s="46" t="s">
        <v>22</v>
      </c>
      <c r="E251" s="46"/>
      <c r="F251" s="48" t="s">
        <v>196</v>
      </c>
      <c r="G251" s="48"/>
      <c r="H251" s="48"/>
      <c r="I251" s="59" t="s">
        <v>37</v>
      </c>
      <c r="J251" s="49">
        <v>0.02</v>
      </c>
      <c r="K251" s="49">
        <v>0.02</v>
      </c>
      <c r="L251" s="49">
        <v>0.02</v>
      </c>
      <c r="M251" s="49">
        <v>0.02</v>
      </c>
      <c r="N251" s="49">
        <v>0.02</v>
      </c>
      <c r="O251" s="49">
        <v>0.02</v>
      </c>
      <c r="P251" s="49">
        <v>0.02</v>
      </c>
      <c r="Q251" s="49">
        <v>0.02</v>
      </c>
      <c r="R251" s="49">
        <v>0.02</v>
      </c>
      <c r="S251" s="49">
        <v>0.02</v>
      </c>
      <c r="T251" s="49">
        <v>0.02</v>
      </c>
      <c r="U251" s="49">
        <v>0.02</v>
      </c>
      <c r="V251" s="47"/>
      <c r="X251" s="141"/>
    </row>
    <row r="252" spans="3:24" x14ac:dyDescent="0.2">
      <c r="C252" s="44"/>
      <c r="D252" s="46" t="s">
        <v>23</v>
      </c>
      <c r="E252" s="46"/>
      <c r="F252" s="48" t="s">
        <v>196</v>
      </c>
      <c r="G252" s="48"/>
      <c r="H252" s="48"/>
      <c r="I252" s="59" t="s">
        <v>37</v>
      </c>
      <c r="J252" s="49">
        <v>0.02</v>
      </c>
      <c r="K252" s="49">
        <v>0.02</v>
      </c>
      <c r="L252" s="49">
        <v>0.02</v>
      </c>
      <c r="M252" s="49">
        <v>0.02</v>
      </c>
      <c r="N252" s="49">
        <v>0.02</v>
      </c>
      <c r="O252" s="49">
        <v>0.02</v>
      </c>
      <c r="P252" s="49">
        <v>0.02</v>
      </c>
      <c r="Q252" s="49">
        <v>0.02</v>
      </c>
      <c r="R252" s="49">
        <v>0.02</v>
      </c>
      <c r="S252" s="49">
        <v>0.02</v>
      </c>
      <c r="T252" s="49">
        <v>0.02</v>
      </c>
      <c r="U252" s="49">
        <v>0.02</v>
      </c>
      <c r="V252" s="47"/>
      <c r="X252" s="141"/>
    </row>
    <row r="253" spans="3:24" ht="5.0999999999999996" customHeight="1" x14ac:dyDescent="0.2">
      <c r="C253" s="44"/>
      <c r="D253" s="46"/>
      <c r="E253" s="46"/>
      <c r="F253" s="46"/>
      <c r="G253" s="46"/>
      <c r="H253" s="46"/>
      <c r="I253" s="46"/>
      <c r="J253" s="46"/>
      <c r="K253" s="46"/>
      <c r="L253" s="46"/>
      <c r="M253" s="46"/>
      <c r="N253" s="46"/>
      <c r="O253" s="46"/>
      <c r="P253" s="46"/>
      <c r="Q253" s="46"/>
      <c r="R253" s="46"/>
      <c r="S253" s="46"/>
      <c r="T253" s="46"/>
      <c r="U253" s="46"/>
      <c r="V253" s="47"/>
      <c r="X253" s="141"/>
    </row>
    <row r="254" spans="3:24" x14ac:dyDescent="0.2">
      <c r="C254" s="44"/>
      <c r="D254" s="51" t="s">
        <v>24</v>
      </c>
      <c r="E254" s="51"/>
      <c r="F254" s="51"/>
      <c r="G254" s="51"/>
      <c r="H254" s="51"/>
      <c r="I254" s="60" t="str">
        <f t="shared" ref="I254:T254" si="33">INDEX(I249:I253,MATCH($G$25,$D249:$D253,0))</f>
        <v>---</v>
      </c>
      <c r="J254" s="52">
        <f t="shared" si="33"/>
        <v>0.02</v>
      </c>
      <c r="K254" s="52">
        <f t="shared" si="33"/>
        <v>0.02</v>
      </c>
      <c r="L254" s="52">
        <f t="shared" si="33"/>
        <v>0.02</v>
      </c>
      <c r="M254" s="52">
        <f t="shared" si="33"/>
        <v>0.02</v>
      </c>
      <c r="N254" s="52">
        <f t="shared" si="33"/>
        <v>0.02</v>
      </c>
      <c r="O254" s="52">
        <f t="shared" si="33"/>
        <v>0.02</v>
      </c>
      <c r="P254" s="52">
        <f t="shared" si="33"/>
        <v>0.02</v>
      </c>
      <c r="Q254" s="52">
        <f t="shared" si="33"/>
        <v>0.02</v>
      </c>
      <c r="R254" s="52">
        <f t="shared" si="33"/>
        <v>0.02</v>
      </c>
      <c r="S254" s="52">
        <f t="shared" si="33"/>
        <v>0.02</v>
      </c>
      <c r="T254" s="52">
        <f t="shared" si="33"/>
        <v>0.02</v>
      </c>
      <c r="U254" s="52">
        <f>INDEX(U249:U253,MATCH($G$25,$D249:$D253,0))</f>
        <v>0.02</v>
      </c>
      <c r="V254" s="47"/>
      <c r="X254" s="141"/>
    </row>
    <row r="255" spans="3:24" ht="5.0999999999999996" customHeight="1" x14ac:dyDescent="0.2">
      <c r="C255" s="53"/>
      <c r="D255" s="54"/>
      <c r="E255" s="54"/>
      <c r="F255" s="54"/>
      <c r="G255" s="54"/>
      <c r="H255" s="54"/>
      <c r="I255" s="54"/>
      <c r="J255" s="54"/>
      <c r="K255" s="54"/>
      <c r="L255" s="54"/>
      <c r="M255" s="54"/>
      <c r="N255" s="54"/>
      <c r="O255" s="54"/>
      <c r="P255" s="54"/>
      <c r="Q255" s="54"/>
      <c r="R255" s="54"/>
      <c r="S255" s="54"/>
      <c r="T255" s="54"/>
      <c r="U255" s="54"/>
      <c r="V255" s="55"/>
      <c r="X255" s="141"/>
    </row>
    <row r="256" spans="3:24" x14ac:dyDescent="0.2">
      <c r="X256" s="141"/>
    </row>
    <row r="257" spans="2:24" x14ac:dyDescent="0.2">
      <c r="B257" s="18" t="s">
        <v>113</v>
      </c>
      <c r="C257" s="18"/>
      <c r="D257" s="18"/>
      <c r="X257" s="141"/>
    </row>
    <row r="258" spans="2:24" x14ac:dyDescent="0.2">
      <c r="I258" s="9"/>
      <c r="R258" s="8"/>
      <c r="S258" s="8"/>
      <c r="T258" s="8"/>
      <c r="U258" s="8"/>
      <c r="X258" s="141"/>
    </row>
    <row r="259" spans="2:24" ht="15" x14ac:dyDescent="0.2">
      <c r="D259" s="225"/>
      <c r="E259" s="225"/>
      <c r="F259" s="225"/>
      <c r="G259" s="180"/>
      <c r="H259" s="180"/>
      <c r="I259" s="99" t="s">
        <v>25</v>
      </c>
      <c r="J259" s="99"/>
      <c r="K259" s="99"/>
      <c r="L259" s="99"/>
      <c r="M259" s="99"/>
      <c r="N259" s="99"/>
      <c r="O259" s="99"/>
      <c r="P259" s="99"/>
      <c r="Q259" s="99"/>
      <c r="R259" s="99"/>
      <c r="S259" s="99"/>
      <c r="T259" s="99"/>
      <c r="U259" s="99"/>
      <c r="X259" s="141"/>
    </row>
    <row r="260" spans="2:24" x14ac:dyDescent="0.2">
      <c r="D260" s="225"/>
      <c r="E260" s="225"/>
      <c r="F260" s="180"/>
      <c r="G260" s="180"/>
      <c r="H260" s="180"/>
      <c r="I260" s="100">
        <f>EOMONTH($G$19, $G$24)</f>
        <v>43465</v>
      </c>
      <c r="J260" s="100">
        <f t="shared" ref="J260:U260" si="34">EOMONTH(I260, $G$24)</f>
        <v>43830</v>
      </c>
      <c r="K260" s="100">
        <f t="shared" si="34"/>
        <v>44196</v>
      </c>
      <c r="L260" s="100">
        <f t="shared" si="34"/>
        <v>44561</v>
      </c>
      <c r="M260" s="100">
        <f t="shared" si="34"/>
        <v>44926</v>
      </c>
      <c r="N260" s="100">
        <f t="shared" si="34"/>
        <v>45291</v>
      </c>
      <c r="O260" s="100">
        <f t="shared" si="34"/>
        <v>45657</v>
      </c>
      <c r="P260" s="100">
        <f t="shared" si="34"/>
        <v>46022</v>
      </c>
      <c r="Q260" s="100">
        <f t="shared" si="34"/>
        <v>46387</v>
      </c>
      <c r="R260" s="100">
        <f t="shared" si="34"/>
        <v>46752</v>
      </c>
      <c r="S260" s="100">
        <f t="shared" si="34"/>
        <v>47118</v>
      </c>
      <c r="T260" s="100">
        <f t="shared" si="34"/>
        <v>47483</v>
      </c>
      <c r="U260" s="100">
        <f t="shared" si="34"/>
        <v>47848</v>
      </c>
      <c r="X260" s="141"/>
    </row>
    <row r="261" spans="2:24" x14ac:dyDescent="0.2">
      <c r="D261" s="225"/>
      <c r="E261" s="225"/>
      <c r="F261" s="180" t="s">
        <v>192</v>
      </c>
      <c r="G261" s="180"/>
      <c r="H261" s="180"/>
      <c r="I261" s="101">
        <f>EOMONTH($G$19, $G$24)</f>
        <v>43465</v>
      </c>
      <c r="J261" s="101">
        <f t="shared" ref="J261:U261" si="35">EOMONTH(I261, $G$24)</f>
        <v>43830</v>
      </c>
      <c r="K261" s="101">
        <f t="shared" si="35"/>
        <v>44196</v>
      </c>
      <c r="L261" s="101">
        <f t="shared" si="35"/>
        <v>44561</v>
      </c>
      <c r="M261" s="101">
        <f t="shared" si="35"/>
        <v>44926</v>
      </c>
      <c r="N261" s="101">
        <f t="shared" si="35"/>
        <v>45291</v>
      </c>
      <c r="O261" s="101">
        <f t="shared" si="35"/>
        <v>45657</v>
      </c>
      <c r="P261" s="101">
        <f t="shared" si="35"/>
        <v>46022</v>
      </c>
      <c r="Q261" s="101">
        <f t="shared" si="35"/>
        <v>46387</v>
      </c>
      <c r="R261" s="101">
        <f t="shared" si="35"/>
        <v>46752</v>
      </c>
      <c r="S261" s="101">
        <f t="shared" si="35"/>
        <v>47118</v>
      </c>
      <c r="T261" s="101">
        <f t="shared" si="35"/>
        <v>47483</v>
      </c>
      <c r="U261" s="101">
        <f t="shared" si="35"/>
        <v>47848</v>
      </c>
      <c r="X261" s="141"/>
    </row>
    <row r="262" spans="2:24" x14ac:dyDescent="0.2">
      <c r="X262" s="141"/>
    </row>
    <row r="263" spans="2:24" ht="5.0999999999999996" customHeight="1" x14ac:dyDescent="0.2">
      <c r="C263" s="78"/>
      <c r="D263" s="79"/>
      <c r="E263" s="79"/>
      <c r="F263" s="79"/>
      <c r="G263" s="79"/>
      <c r="H263" s="79"/>
      <c r="I263" s="79"/>
      <c r="J263" s="79"/>
      <c r="K263" s="79"/>
      <c r="L263" s="79"/>
      <c r="M263" s="79"/>
      <c r="N263" s="79"/>
      <c r="O263" s="79"/>
      <c r="P263" s="79"/>
      <c r="Q263" s="79"/>
      <c r="R263" s="79"/>
      <c r="S263" s="79"/>
      <c r="T263" s="79"/>
      <c r="U263" s="79"/>
      <c r="V263" s="80"/>
      <c r="X263" s="141"/>
    </row>
    <row r="264" spans="2:24" x14ac:dyDescent="0.2">
      <c r="C264" s="81"/>
      <c r="D264" s="82" t="s">
        <v>124</v>
      </c>
      <c r="E264" s="82"/>
      <c r="F264" s="83"/>
      <c r="G264" s="83"/>
      <c r="H264" s="83"/>
      <c r="I264" s="83"/>
      <c r="J264" s="83"/>
      <c r="K264" s="83"/>
      <c r="L264" s="83"/>
      <c r="M264" s="83"/>
      <c r="N264" s="83"/>
      <c r="O264" s="83"/>
      <c r="P264" s="83"/>
      <c r="Q264" s="83"/>
      <c r="R264" s="83"/>
      <c r="S264" s="83"/>
      <c r="T264" s="83"/>
      <c r="U264" s="83"/>
      <c r="V264" s="84"/>
      <c r="X264" s="141"/>
    </row>
    <row r="265" spans="2:24" ht="5.0999999999999996" customHeight="1" x14ac:dyDescent="0.2">
      <c r="C265" s="81"/>
      <c r="D265" s="83"/>
      <c r="E265" s="83"/>
      <c r="F265" s="83"/>
      <c r="G265" s="83"/>
      <c r="H265" s="83"/>
      <c r="I265" s="83"/>
      <c r="J265" s="83"/>
      <c r="K265" s="83"/>
      <c r="L265" s="83"/>
      <c r="M265" s="83"/>
      <c r="N265" s="83"/>
      <c r="O265" s="83"/>
      <c r="P265" s="83"/>
      <c r="Q265" s="83"/>
      <c r="R265" s="83"/>
      <c r="S265" s="83"/>
      <c r="T265" s="83"/>
      <c r="U265" s="83"/>
      <c r="V265" s="84"/>
      <c r="X265" s="141"/>
    </row>
    <row r="266" spans="2:24" x14ac:dyDescent="0.2">
      <c r="C266" s="81"/>
      <c r="D266" s="83" t="s">
        <v>21</v>
      </c>
      <c r="E266" s="83"/>
      <c r="F266" s="85" t="s">
        <v>127</v>
      </c>
      <c r="G266" s="85"/>
      <c r="H266" s="85"/>
      <c r="I266" s="86">
        <v>0.72499999999999998</v>
      </c>
      <c r="J266" s="87">
        <f>I266</f>
        <v>0.72499999999999998</v>
      </c>
      <c r="K266" s="87">
        <f>J266</f>
        <v>0.72499999999999998</v>
      </c>
      <c r="L266" s="87">
        <f t="shared" ref="L266:U266" si="36">K266</f>
        <v>0.72499999999999998</v>
      </c>
      <c r="M266" s="87">
        <f t="shared" si="36"/>
        <v>0.72499999999999998</v>
      </c>
      <c r="N266" s="87">
        <f t="shared" si="36"/>
        <v>0.72499999999999998</v>
      </c>
      <c r="O266" s="87">
        <f t="shared" si="36"/>
        <v>0.72499999999999998</v>
      </c>
      <c r="P266" s="87">
        <f t="shared" si="36"/>
        <v>0.72499999999999998</v>
      </c>
      <c r="Q266" s="87">
        <f t="shared" si="36"/>
        <v>0.72499999999999998</v>
      </c>
      <c r="R266" s="87">
        <f t="shared" si="36"/>
        <v>0.72499999999999998</v>
      </c>
      <c r="S266" s="87">
        <f t="shared" si="36"/>
        <v>0.72499999999999998</v>
      </c>
      <c r="T266" s="87">
        <f t="shared" si="36"/>
        <v>0.72499999999999998</v>
      </c>
      <c r="U266" s="87">
        <f t="shared" si="36"/>
        <v>0.72499999999999998</v>
      </c>
      <c r="V266" s="84"/>
      <c r="X266" s="141"/>
    </row>
    <row r="267" spans="2:24" x14ac:dyDescent="0.2">
      <c r="C267" s="81"/>
      <c r="D267" s="83" t="s">
        <v>22</v>
      </c>
      <c r="E267" s="83"/>
      <c r="F267" s="85" t="s">
        <v>127</v>
      </c>
      <c r="G267" s="85"/>
      <c r="H267" s="85"/>
      <c r="I267" s="86">
        <v>0.75</v>
      </c>
      <c r="J267" s="87">
        <f>I267</f>
        <v>0.75</v>
      </c>
      <c r="K267" s="87">
        <f t="shared" ref="K267:U268" si="37">J267</f>
        <v>0.75</v>
      </c>
      <c r="L267" s="87">
        <f t="shared" si="37"/>
        <v>0.75</v>
      </c>
      <c r="M267" s="87">
        <f t="shared" si="37"/>
        <v>0.75</v>
      </c>
      <c r="N267" s="87">
        <f t="shared" si="37"/>
        <v>0.75</v>
      </c>
      <c r="O267" s="87">
        <f t="shared" si="37"/>
        <v>0.75</v>
      </c>
      <c r="P267" s="87">
        <f t="shared" si="37"/>
        <v>0.75</v>
      </c>
      <c r="Q267" s="87">
        <f t="shared" si="37"/>
        <v>0.75</v>
      </c>
      <c r="R267" s="87">
        <f t="shared" si="37"/>
        <v>0.75</v>
      </c>
      <c r="S267" s="87">
        <f t="shared" si="37"/>
        <v>0.75</v>
      </c>
      <c r="T267" s="87">
        <f t="shared" si="37"/>
        <v>0.75</v>
      </c>
      <c r="U267" s="87">
        <f t="shared" si="37"/>
        <v>0.75</v>
      </c>
      <c r="V267" s="84"/>
      <c r="X267" s="141"/>
    </row>
    <row r="268" spans="2:24" x14ac:dyDescent="0.2">
      <c r="C268" s="81"/>
      <c r="D268" s="83" t="s">
        <v>23</v>
      </c>
      <c r="E268" s="83"/>
      <c r="F268" s="85" t="s">
        <v>127</v>
      </c>
      <c r="G268" s="85"/>
      <c r="H268" s="85"/>
      <c r="I268" s="86">
        <v>0.7</v>
      </c>
      <c r="J268" s="87">
        <f>I268</f>
        <v>0.7</v>
      </c>
      <c r="K268" s="87">
        <f t="shared" si="37"/>
        <v>0.7</v>
      </c>
      <c r="L268" s="87">
        <f t="shared" si="37"/>
        <v>0.7</v>
      </c>
      <c r="M268" s="87">
        <f t="shared" si="37"/>
        <v>0.7</v>
      </c>
      <c r="N268" s="87">
        <f t="shared" si="37"/>
        <v>0.7</v>
      </c>
      <c r="O268" s="87">
        <f t="shared" si="37"/>
        <v>0.7</v>
      </c>
      <c r="P268" s="87">
        <f t="shared" si="37"/>
        <v>0.7</v>
      </c>
      <c r="Q268" s="87">
        <f t="shared" si="37"/>
        <v>0.7</v>
      </c>
      <c r="R268" s="87">
        <f t="shared" si="37"/>
        <v>0.7</v>
      </c>
      <c r="S268" s="87">
        <f t="shared" si="37"/>
        <v>0.7</v>
      </c>
      <c r="T268" s="87">
        <f t="shared" si="37"/>
        <v>0.7</v>
      </c>
      <c r="U268" s="87">
        <f t="shared" si="37"/>
        <v>0.7</v>
      </c>
      <c r="V268" s="84"/>
      <c r="X268" s="141"/>
    </row>
    <row r="269" spans="2:24" ht="5.0999999999999996" customHeight="1" x14ac:dyDescent="0.2">
      <c r="C269" s="81"/>
      <c r="D269" s="83"/>
      <c r="E269" s="83"/>
      <c r="F269" s="83"/>
      <c r="G269" s="83"/>
      <c r="H269" s="83"/>
      <c r="I269" s="83"/>
      <c r="J269" s="83"/>
      <c r="K269" s="83"/>
      <c r="L269" s="83"/>
      <c r="M269" s="83"/>
      <c r="N269" s="83"/>
      <c r="O269" s="83"/>
      <c r="P269" s="83"/>
      <c r="Q269" s="83"/>
      <c r="R269" s="83"/>
      <c r="S269" s="83"/>
      <c r="T269" s="83"/>
      <c r="U269" s="83"/>
      <c r="V269" s="84"/>
      <c r="X269" s="141"/>
    </row>
    <row r="270" spans="2:24" x14ac:dyDescent="0.2">
      <c r="C270" s="81"/>
      <c r="D270" s="88" t="s">
        <v>24</v>
      </c>
      <c r="E270" s="88"/>
      <c r="F270" s="88"/>
      <c r="G270" s="88"/>
      <c r="H270" s="88"/>
      <c r="I270" s="90">
        <f t="shared" ref="I270:T270" si="38">INDEX(I265:I269,MATCH($G$25,$D265:$D269,0))</f>
        <v>0.72499999999999998</v>
      </c>
      <c r="J270" s="90">
        <f t="shared" si="38"/>
        <v>0.72499999999999998</v>
      </c>
      <c r="K270" s="90">
        <f t="shared" si="38"/>
        <v>0.72499999999999998</v>
      </c>
      <c r="L270" s="90">
        <f t="shared" si="38"/>
        <v>0.72499999999999998</v>
      </c>
      <c r="M270" s="90">
        <f t="shared" si="38"/>
        <v>0.72499999999999998</v>
      </c>
      <c r="N270" s="90">
        <f t="shared" si="38"/>
        <v>0.72499999999999998</v>
      </c>
      <c r="O270" s="90">
        <f t="shared" si="38"/>
        <v>0.72499999999999998</v>
      </c>
      <c r="P270" s="90">
        <f t="shared" si="38"/>
        <v>0.72499999999999998</v>
      </c>
      <c r="Q270" s="90">
        <f t="shared" si="38"/>
        <v>0.72499999999999998</v>
      </c>
      <c r="R270" s="90">
        <f t="shared" si="38"/>
        <v>0.72499999999999998</v>
      </c>
      <c r="S270" s="90">
        <f t="shared" si="38"/>
        <v>0.72499999999999998</v>
      </c>
      <c r="T270" s="90">
        <f t="shared" si="38"/>
        <v>0.72499999999999998</v>
      </c>
      <c r="U270" s="90">
        <f>INDEX(U265:U269,MATCH($G$25,$D265:$D269,0))</f>
        <v>0.72499999999999998</v>
      </c>
      <c r="V270" s="84"/>
      <c r="X270" s="141"/>
    </row>
    <row r="271" spans="2:24" ht="5.0999999999999996" customHeight="1" x14ac:dyDescent="0.2">
      <c r="C271" s="91"/>
      <c r="D271" s="92"/>
      <c r="E271" s="92"/>
      <c r="F271" s="92"/>
      <c r="G271" s="92"/>
      <c r="H271" s="92"/>
      <c r="I271" s="92"/>
      <c r="J271" s="92"/>
      <c r="K271" s="92"/>
      <c r="L271" s="92"/>
      <c r="M271" s="92"/>
      <c r="N271" s="92"/>
      <c r="O271" s="92"/>
      <c r="P271" s="92"/>
      <c r="Q271" s="92"/>
      <c r="R271" s="92"/>
      <c r="S271" s="92"/>
      <c r="T271" s="92"/>
      <c r="U271" s="92"/>
      <c r="V271" s="93"/>
      <c r="X271" s="141"/>
    </row>
    <row r="272" spans="2:24" x14ac:dyDescent="0.2">
      <c r="X272" s="141"/>
    </row>
    <row r="273" spans="3:24" ht="5.0999999999999996" customHeight="1" x14ac:dyDescent="0.2">
      <c r="C273" s="78"/>
      <c r="D273" s="79"/>
      <c r="E273" s="79"/>
      <c r="F273" s="79"/>
      <c r="G273" s="79"/>
      <c r="H273" s="79"/>
      <c r="I273" s="79"/>
      <c r="J273" s="79"/>
      <c r="K273" s="79"/>
      <c r="L273" s="79"/>
      <c r="M273" s="79"/>
      <c r="N273" s="79"/>
      <c r="O273" s="79"/>
      <c r="P273" s="79"/>
      <c r="Q273" s="79"/>
      <c r="R273" s="79"/>
      <c r="S273" s="79"/>
      <c r="T273" s="79"/>
      <c r="U273" s="79"/>
      <c r="V273" s="80"/>
      <c r="X273" s="141"/>
    </row>
    <row r="274" spans="3:24" x14ac:dyDescent="0.2">
      <c r="C274" s="81"/>
      <c r="D274" s="82" t="s">
        <v>132</v>
      </c>
      <c r="E274" s="82"/>
      <c r="F274" s="83"/>
      <c r="G274" s="83"/>
      <c r="H274" s="83"/>
      <c r="I274" s="83"/>
      <c r="J274" s="83"/>
      <c r="K274" s="83"/>
      <c r="L274" s="83"/>
      <c r="M274" s="83"/>
      <c r="N274" s="83"/>
      <c r="O274" s="83"/>
      <c r="P274" s="83"/>
      <c r="Q274" s="83"/>
      <c r="R274" s="83"/>
      <c r="S274" s="83"/>
      <c r="T274" s="83"/>
      <c r="U274" s="83"/>
      <c r="V274" s="84"/>
      <c r="X274" s="141"/>
    </row>
    <row r="275" spans="3:24" ht="5.0999999999999996" customHeight="1" x14ac:dyDescent="0.2">
      <c r="C275" s="81"/>
      <c r="D275" s="83"/>
      <c r="E275" s="83"/>
      <c r="F275" s="83"/>
      <c r="G275" s="83"/>
      <c r="H275" s="83"/>
      <c r="I275" s="83"/>
      <c r="J275" s="83"/>
      <c r="K275" s="83"/>
      <c r="L275" s="83"/>
      <c r="M275" s="83"/>
      <c r="N275" s="83"/>
      <c r="O275" s="83"/>
      <c r="P275" s="83"/>
      <c r="Q275" s="83"/>
      <c r="R275" s="83"/>
      <c r="S275" s="83"/>
      <c r="T275" s="83"/>
      <c r="U275" s="83"/>
      <c r="V275" s="84"/>
      <c r="X275" s="141"/>
    </row>
    <row r="276" spans="3:24" x14ac:dyDescent="0.2">
      <c r="C276" s="81"/>
      <c r="D276" s="83" t="s">
        <v>21</v>
      </c>
      <c r="E276" s="83"/>
      <c r="F276" s="85" t="s">
        <v>128</v>
      </c>
      <c r="G276" s="85"/>
      <c r="H276" s="85"/>
      <c r="I276" s="86">
        <v>0.3</v>
      </c>
      <c r="J276" s="87">
        <f>I276</f>
        <v>0.3</v>
      </c>
      <c r="K276" s="87">
        <f>J276</f>
        <v>0.3</v>
      </c>
      <c r="L276" s="87">
        <f t="shared" ref="L276:U276" si="39">K276</f>
        <v>0.3</v>
      </c>
      <c r="M276" s="87">
        <f t="shared" si="39"/>
        <v>0.3</v>
      </c>
      <c r="N276" s="87">
        <f t="shared" si="39"/>
        <v>0.3</v>
      </c>
      <c r="O276" s="87">
        <f t="shared" si="39"/>
        <v>0.3</v>
      </c>
      <c r="P276" s="87">
        <f t="shared" si="39"/>
        <v>0.3</v>
      </c>
      <c r="Q276" s="87">
        <f t="shared" si="39"/>
        <v>0.3</v>
      </c>
      <c r="R276" s="87">
        <f t="shared" si="39"/>
        <v>0.3</v>
      </c>
      <c r="S276" s="87">
        <f t="shared" si="39"/>
        <v>0.3</v>
      </c>
      <c r="T276" s="87">
        <f t="shared" si="39"/>
        <v>0.3</v>
      </c>
      <c r="U276" s="87">
        <f t="shared" si="39"/>
        <v>0.3</v>
      </c>
      <c r="V276" s="84"/>
      <c r="X276" s="141"/>
    </row>
    <row r="277" spans="3:24" x14ac:dyDescent="0.2">
      <c r="C277" s="81"/>
      <c r="D277" s="83" t="s">
        <v>22</v>
      </c>
      <c r="E277" s="83"/>
      <c r="F277" s="85" t="s">
        <v>128</v>
      </c>
      <c r="G277" s="85"/>
      <c r="H277" s="85"/>
      <c r="I277" s="86">
        <v>0.32</v>
      </c>
      <c r="J277" s="87">
        <f>I277</f>
        <v>0.32</v>
      </c>
      <c r="K277" s="87">
        <f t="shared" ref="K277:U277" si="40">J277</f>
        <v>0.32</v>
      </c>
      <c r="L277" s="87">
        <f t="shared" si="40"/>
        <v>0.32</v>
      </c>
      <c r="M277" s="87">
        <f t="shared" si="40"/>
        <v>0.32</v>
      </c>
      <c r="N277" s="87">
        <f t="shared" si="40"/>
        <v>0.32</v>
      </c>
      <c r="O277" s="87">
        <f t="shared" si="40"/>
        <v>0.32</v>
      </c>
      <c r="P277" s="87">
        <f t="shared" si="40"/>
        <v>0.32</v>
      </c>
      <c r="Q277" s="87">
        <f t="shared" si="40"/>
        <v>0.32</v>
      </c>
      <c r="R277" s="87">
        <f t="shared" si="40"/>
        <v>0.32</v>
      </c>
      <c r="S277" s="87">
        <f t="shared" si="40"/>
        <v>0.32</v>
      </c>
      <c r="T277" s="87">
        <f t="shared" si="40"/>
        <v>0.32</v>
      </c>
      <c r="U277" s="87">
        <f t="shared" si="40"/>
        <v>0.32</v>
      </c>
      <c r="V277" s="84"/>
      <c r="X277" s="141"/>
    </row>
    <row r="278" spans="3:24" x14ac:dyDescent="0.2">
      <c r="C278" s="81"/>
      <c r="D278" s="83" t="s">
        <v>23</v>
      </c>
      <c r="E278" s="83"/>
      <c r="F278" s="85" t="s">
        <v>128</v>
      </c>
      <c r="G278" s="85"/>
      <c r="H278" s="85"/>
      <c r="I278" s="86">
        <v>0.28000000000000003</v>
      </c>
      <c r="J278" s="87">
        <f>I278</f>
        <v>0.28000000000000003</v>
      </c>
      <c r="K278" s="87">
        <f t="shared" ref="K278:U278" si="41">J278</f>
        <v>0.28000000000000003</v>
      </c>
      <c r="L278" s="87">
        <f t="shared" si="41"/>
        <v>0.28000000000000003</v>
      </c>
      <c r="M278" s="87">
        <f t="shared" si="41"/>
        <v>0.28000000000000003</v>
      </c>
      <c r="N278" s="87">
        <f t="shared" si="41"/>
        <v>0.28000000000000003</v>
      </c>
      <c r="O278" s="87">
        <f t="shared" si="41"/>
        <v>0.28000000000000003</v>
      </c>
      <c r="P278" s="87">
        <f t="shared" si="41"/>
        <v>0.28000000000000003</v>
      </c>
      <c r="Q278" s="87">
        <f t="shared" si="41"/>
        <v>0.28000000000000003</v>
      </c>
      <c r="R278" s="87">
        <f t="shared" si="41"/>
        <v>0.28000000000000003</v>
      </c>
      <c r="S278" s="87">
        <f t="shared" si="41"/>
        <v>0.28000000000000003</v>
      </c>
      <c r="T278" s="87">
        <f t="shared" si="41"/>
        <v>0.28000000000000003</v>
      </c>
      <c r="U278" s="87">
        <f t="shared" si="41"/>
        <v>0.28000000000000003</v>
      </c>
      <c r="V278" s="84"/>
      <c r="X278" s="141"/>
    </row>
    <row r="279" spans="3:24" ht="5.0999999999999996" customHeight="1" x14ac:dyDescent="0.2">
      <c r="C279" s="81"/>
      <c r="D279" s="83"/>
      <c r="E279" s="83"/>
      <c r="F279" s="83"/>
      <c r="G279" s="83"/>
      <c r="H279" s="83"/>
      <c r="I279" s="83"/>
      <c r="J279" s="83"/>
      <c r="K279" s="83"/>
      <c r="L279" s="83"/>
      <c r="M279" s="83"/>
      <c r="N279" s="83"/>
      <c r="O279" s="83"/>
      <c r="P279" s="83"/>
      <c r="Q279" s="83"/>
      <c r="R279" s="83"/>
      <c r="S279" s="83"/>
      <c r="T279" s="83"/>
      <c r="U279" s="83"/>
      <c r="V279" s="84"/>
      <c r="X279" s="141"/>
    </row>
    <row r="280" spans="3:24" x14ac:dyDescent="0.2">
      <c r="C280" s="81"/>
      <c r="D280" s="88" t="s">
        <v>24</v>
      </c>
      <c r="E280" s="88"/>
      <c r="F280" s="88"/>
      <c r="G280" s="88"/>
      <c r="H280" s="88"/>
      <c r="I280" s="90">
        <f t="shared" ref="I280:T280" si="42">INDEX(I275:I279,MATCH($G$25,$D275:$D279,0))</f>
        <v>0.3</v>
      </c>
      <c r="J280" s="90">
        <f t="shared" si="42"/>
        <v>0.3</v>
      </c>
      <c r="K280" s="90">
        <f t="shared" si="42"/>
        <v>0.3</v>
      </c>
      <c r="L280" s="90">
        <f t="shared" si="42"/>
        <v>0.3</v>
      </c>
      <c r="M280" s="90">
        <f t="shared" si="42"/>
        <v>0.3</v>
      </c>
      <c r="N280" s="90">
        <f t="shared" si="42"/>
        <v>0.3</v>
      </c>
      <c r="O280" s="90">
        <f t="shared" si="42"/>
        <v>0.3</v>
      </c>
      <c r="P280" s="90">
        <f t="shared" si="42"/>
        <v>0.3</v>
      </c>
      <c r="Q280" s="90">
        <f t="shared" si="42"/>
        <v>0.3</v>
      </c>
      <c r="R280" s="90">
        <f t="shared" si="42"/>
        <v>0.3</v>
      </c>
      <c r="S280" s="90">
        <f t="shared" si="42"/>
        <v>0.3</v>
      </c>
      <c r="T280" s="90">
        <f t="shared" si="42"/>
        <v>0.3</v>
      </c>
      <c r="U280" s="90">
        <f>INDEX(U275:U279,MATCH($G$25,$D275:$D279,0))</f>
        <v>0.3</v>
      </c>
      <c r="V280" s="84"/>
      <c r="X280" s="141"/>
    </row>
    <row r="281" spans="3:24" ht="5.0999999999999996" customHeight="1" x14ac:dyDescent="0.2">
      <c r="C281" s="91"/>
      <c r="D281" s="92"/>
      <c r="E281" s="92"/>
      <c r="F281" s="92"/>
      <c r="G281" s="92"/>
      <c r="H281" s="92"/>
      <c r="I281" s="92"/>
      <c r="J281" s="92"/>
      <c r="K281" s="92"/>
      <c r="L281" s="92"/>
      <c r="M281" s="92"/>
      <c r="N281" s="92"/>
      <c r="O281" s="92"/>
      <c r="P281" s="92"/>
      <c r="Q281" s="92"/>
      <c r="R281" s="92"/>
      <c r="S281" s="92"/>
      <c r="T281" s="92"/>
      <c r="U281" s="92"/>
      <c r="V281" s="93"/>
      <c r="X281" s="141"/>
    </row>
    <row r="282" spans="3:24" x14ac:dyDescent="0.2">
      <c r="X282" s="141"/>
    </row>
    <row r="283" spans="3:24" ht="5.0999999999999996" customHeight="1" x14ac:dyDescent="0.2">
      <c r="C283" s="78"/>
      <c r="D283" s="79"/>
      <c r="E283" s="79"/>
      <c r="F283" s="79"/>
      <c r="G283" s="79"/>
      <c r="H283" s="79"/>
      <c r="I283" s="79"/>
      <c r="J283" s="79"/>
      <c r="K283" s="79"/>
      <c r="L283" s="79"/>
      <c r="M283" s="79"/>
      <c r="N283" s="79"/>
      <c r="O283" s="79"/>
      <c r="P283" s="79"/>
      <c r="Q283" s="79"/>
      <c r="R283" s="79"/>
      <c r="S283" s="79"/>
      <c r="T283" s="79"/>
      <c r="U283" s="79"/>
      <c r="V283" s="80"/>
      <c r="X283" s="141"/>
    </row>
    <row r="284" spans="3:24" x14ac:dyDescent="0.2">
      <c r="C284" s="81"/>
      <c r="D284" s="82" t="s">
        <v>123</v>
      </c>
      <c r="E284" s="82"/>
      <c r="F284" s="83"/>
      <c r="G284" s="83"/>
      <c r="H284" s="83"/>
      <c r="I284" s="83"/>
      <c r="J284" s="83"/>
      <c r="K284" s="83"/>
      <c r="L284" s="83"/>
      <c r="M284" s="83"/>
      <c r="N284" s="83"/>
      <c r="O284" s="83"/>
      <c r="P284" s="83"/>
      <c r="Q284" s="83"/>
      <c r="R284" s="83"/>
      <c r="S284" s="83"/>
      <c r="T284" s="83"/>
      <c r="U284" s="83"/>
      <c r="V284" s="84"/>
      <c r="X284" s="141"/>
    </row>
    <row r="285" spans="3:24" ht="5.0999999999999996" customHeight="1" x14ac:dyDescent="0.2">
      <c r="C285" s="81"/>
      <c r="D285" s="83"/>
      <c r="E285" s="83"/>
      <c r="F285" s="83"/>
      <c r="G285" s="83"/>
      <c r="H285" s="83"/>
      <c r="I285" s="83"/>
      <c r="J285" s="83"/>
      <c r="K285" s="83"/>
      <c r="L285" s="83"/>
      <c r="M285" s="83"/>
      <c r="N285" s="83"/>
      <c r="O285" s="83"/>
      <c r="P285" s="83"/>
      <c r="Q285" s="83"/>
      <c r="R285" s="83"/>
      <c r="S285" s="83"/>
      <c r="T285" s="83"/>
      <c r="U285" s="83"/>
      <c r="V285" s="84"/>
      <c r="X285" s="141"/>
    </row>
    <row r="286" spans="3:24" x14ac:dyDescent="0.2">
      <c r="C286" s="81"/>
      <c r="D286" s="83" t="s">
        <v>21</v>
      </c>
      <c r="E286" s="83"/>
      <c r="F286" s="85" t="s">
        <v>129</v>
      </c>
      <c r="G286" s="85"/>
      <c r="H286" s="85"/>
      <c r="I286" s="86">
        <v>7.4999999999999997E-2</v>
      </c>
      <c r="J286" s="87">
        <f>I286</f>
        <v>7.4999999999999997E-2</v>
      </c>
      <c r="K286" s="87">
        <f>J286</f>
        <v>7.4999999999999997E-2</v>
      </c>
      <c r="L286" s="87">
        <f t="shared" ref="L286:U286" si="43">K286</f>
        <v>7.4999999999999997E-2</v>
      </c>
      <c r="M286" s="87">
        <f t="shared" si="43"/>
        <v>7.4999999999999997E-2</v>
      </c>
      <c r="N286" s="87">
        <f t="shared" si="43"/>
        <v>7.4999999999999997E-2</v>
      </c>
      <c r="O286" s="87">
        <f t="shared" si="43"/>
        <v>7.4999999999999997E-2</v>
      </c>
      <c r="P286" s="87">
        <f t="shared" si="43"/>
        <v>7.4999999999999997E-2</v>
      </c>
      <c r="Q286" s="87">
        <f t="shared" si="43"/>
        <v>7.4999999999999997E-2</v>
      </c>
      <c r="R286" s="87">
        <f t="shared" si="43"/>
        <v>7.4999999999999997E-2</v>
      </c>
      <c r="S286" s="87">
        <f t="shared" si="43"/>
        <v>7.4999999999999997E-2</v>
      </c>
      <c r="T286" s="87">
        <f t="shared" si="43"/>
        <v>7.4999999999999997E-2</v>
      </c>
      <c r="U286" s="87">
        <f t="shared" si="43"/>
        <v>7.4999999999999997E-2</v>
      </c>
      <c r="V286" s="84"/>
      <c r="X286" s="141"/>
    </row>
    <row r="287" spans="3:24" x14ac:dyDescent="0.2">
      <c r="C287" s="81"/>
      <c r="D287" s="83" t="s">
        <v>22</v>
      </c>
      <c r="E287" s="83"/>
      <c r="F287" s="85" t="s">
        <v>129</v>
      </c>
      <c r="G287" s="85"/>
      <c r="H287" s="85"/>
      <c r="I287" s="86">
        <v>0.1</v>
      </c>
      <c r="J287" s="87">
        <f t="shared" ref="J287:U288" si="44">I287</f>
        <v>0.1</v>
      </c>
      <c r="K287" s="87">
        <f t="shared" si="44"/>
        <v>0.1</v>
      </c>
      <c r="L287" s="87">
        <f t="shared" si="44"/>
        <v>0.1</v>
      </c>
      <c r="M287" s="87">
        <f t="shared" si="44"/>
        <v>0.1</v>
      </c>
      <c r="N287" s="87">
        <f t="shared" si="44"/>
        <v>0.1</v>
      </c>
      <c r="O287" s="87">
        <f t="shared" si="44"/>
        <v>0.1</v>
      </c>
      <c r="P287" s="87">
        <f t="shared" si="44"/>
        <v>0.1</v>
      </c>
      <c r="Q287" s="87">
        <f t="shared" si="44"/>
        <v>0.1</v>
      </c>
      <c r="R287" s="87">
        <f t="shared" si="44"/>
        <v>0.1</v>
      </c>
      <c r="S287" s="87">
        <f t="shared" si="44"/>
        <v>0.1</v>
      </c>
      <c r="T287" s="87">
        <f t="shared" si="44"/>
        <v>0.1</v>
      </c>
      <c r="U287" s="87">
        <f t="shared" si="44"/>
        <v>0.1</v>
      </c>
      <c r="V287" s="84"/>
      <c r="X287" s="141"/>
    </row>
    <row r="288" spans="3:24" x14ac:dyDescent="0.2">
      <c r="C288" s="81"/>
      <c r="D288" s="83" t="s">
        <v>23</v>
      </c>
      <c r="E288" s="83"/>
      <c r="F288" s="85" t="s">
        <v>129</v>
      </c>
      <c r="G288" s="85"/>
      <c r="H288" s="85"/>
      <c r="I288" s="86">
        <v>0.05</v>
      </c>
      <c r="J288" s="87">
        <f t="shared" si="44"/>
        <v>0.05</v>
      </c>
      <c r="K288" s="87">
        <f t="shared" si="44"/>
        <v>0.05</v>
      </c>
      <c r="L288" s="87">
        <f t="shared" si="44"/>
        <v>0.05</v>
      </c>
      <c r="M288" s="87">
        <f t="shared" si="44"/>
        <v>0.05</v>
      </c>
      <c r="N288" s="87">
        <f t="shared" si="44"/>
        <v>0.05</v>
      </c>
      <c r="O288" s="87">
        <f t="shared" si="44"/>
        <v>0.05</v>
      </c>
      <c r="P288" s="87">
        <f t="shared" si="44"/>
        <v>0.05</v>
      </c>
      <c r="Q288" s="87">
        <f t="shared" si="44"/>
        <v>0.05</v>
      </c>
      <c r="R288" s="87">
        <f t="shared" si="44"/>
        <v>0.05</v>
      </c>
      <c r="S288" s="87">
        <f t="shared" si="44"/>
        <v>0.05</v>
      </c>
      <c r="T288" s="87">
        <f t="shared" si="44"/>
        <v>0.05</v>
      </c>
      <c r="U288" s="87">
        <f t="shared" si="44"/>
        <v>0.05</v>
      </c>
      <c r="V288" s="84"/>
      <c r="X288" s="141"/>
    </row>
    <row r="289" spans="3:24" ht="5.0999999999999996" customHeight="1" x14ac:dyDescent="0.2">
      <c r="C289" s="81"/>
      <c r="D289" s="83"/>
      <c r="E289" s="83"/>
      <c r="F289" s="83"/>
      <c r="G289" s="83"/>
      <c r="H289" s="83"/>
      <c r="I289" s="83"/>
      <c r="J289" s="83"/>
      <c r="K289" s="83"/>
      <c r="L289" s="83"/>
      <c r="M289" s="83"/>
      <c r="N289" s="83"/>
      <c r="O289" s="83"/>
      <c r="P289" s="83"/>
      <c r="Q289" s="83"/>
      <c r="R289" s="83"/>
      <c r="S289" s="83"/>
      <c r="T289" s="83"/>
      <c r="U289" s="83"/>
      <c r="V289" s="84"/>
      <c r="X289" s="141"/>
    </row>
    <row r="290" spans="3:24" x14ac:dyDescent="0.2">
      <c r="C290" s="81"/>
      <c r="D290" s="88" t="s">
        <v>24</v>
      </c>
      <c r="E290" s="88"/>
      <c r="F290" s="88"/>
      <c r="G290" s="88"/>
      <c r="H290" s="88"/>
      <c r="I290" s="90">
        <f t="shared" ref="I290:T290" si="45">INDEX(I285:I289,MATCH($G$25,$D285:$D289,0))</f>
        <v>7.4999999999999997E-2</v>
      </c>
      <c r="J290" s="90">
        <f t="shared" si="45"/>
        <v>7.4999999999999997E-2</v>
      </c>
      <c r="K290" s="90">
        <f t="shared" si="45"/>
        <v>7.4999999999999997E-2</v>
      </c>
      <c r="L290" s="90">
        <f t="shared" si="45"/>
        <v>7.4999999999999997E-2</v>
      </c>
      <c r="M290" s="90">
        <f t="shared" si="45"/>
        <v>7.4999999999999997E-2</v>
      </c>
      <c r="N290" s="90">
        <f t="shared" si="45"/>
        <v>7.4999999999999997E-2</v>
      </c>
      <c r="O290" s="90">
        <f t="shared" si="45"/>
        <v>7.4999999999999997E-2</v>
      </c>
      <c r="P290" s="90">
        <f t="shared" si="45"/>
        <v>7.4999999999999997E-2</v>
      </c>
      <c r="Q290" s="90">
        <f t="shared" si="45"/>
        <v>7.4999999999999997E-2</v>
      </c>
      <c r="R290" s="90">
        <f t="shared" si="45"/>
        <v>7.4999999999999997E-2</v>
      </c>
      <c r="S290" s="90">
        <f t="shared" si="45"/>
        <v>7.4999999999999997E-2</v>
      </c>
      <c r="T290" s="90">
        <f t="shared" si="45"/>
        <v>7.4999999999999997E-2</v>
      </c>
      <c r="U290" s="90">
        <f>INDEX(U285:U289,MATCH($G$25,$D285:$D289,0))</f>
        <v>7.4999999999999997E-2</v>
      </c>
      <c r="V290" s="84"/>
      <c r="X290" s="141"/>
    </row>
    <row r="291" spans="3:24" ht="5.0999999999999996" customHeight="1" x14ac:dyDescent="0.2">
      <c r="C291" s="91"/>
      <c r="D291" s="92"/>
      <c r="E291" s="92"/>
      <c r="F291" s="92"/>
      <c r="G291" s="92"/>
      <c r="H291" s="92"/>
      <c r="I291" s="92"/>
      <c r="J291" s="92"/>
      <c r="K291" s="92"/>
      <c r="L291" s="92"/>
      <c r="M291" s="92"/>
      <c r="N291" s="92"/>
      <c r="O291" s="92"/>
      <c r="P291" s="92"/>
      <c r="Q291" s="92"/>
      <c r="R291" s="92"/>
      <c r="S291" s="92"/>
      <c r="T291" s="92"/>
      <c r="U291" s="92"/>
      <c r="V291" s="93"/>
      <c r="X291" s="141"/>
    </row>
    <row r="292" spans="3:24" x14ac:dyDescent="0.2">
      <c r="X292" s="141"/>
    </row>
    <row r="293" spans="3:24" ht="5.0999999999999996" customHeight="1" x14ac:dyDescent="0.2">
      <c r="C293" s="78"/>
      <c r="D293" s="79"/>
      <c r="E293" s="79"/>
      <c r="F293" s="79"/>
      <c r="G293" s="79"/>
      <c r="H293" s="79"/>
      <c r="I293" s="79"/>
      <c r="J293" s="79"/>
      <c r="K293" s="79"/>
      <c r="L293" s="79"/>
      <c r="M293" s="79"/>
      <c r="N293" s="79"/>
      <c r="O293" s="79"/>
      <c r="P293" s="79"/>
      <c r="Q293" s="79"/>
      <c r="R293" s="79"/>
      <c r="S293" s="79"/>
      <c r="T293" s="79"/>
      <c r="U293" s="79"/>
      <c r="V293" s="80"/>
      <c r="X293" s="141"/>
    </row>
    <row r="294" spans="3:24" x14ac:dyDescent="0.2">
      <c r="C294" s="81"/>
      <c r="D294" s="82" t="s">
        <v>195</v>
      </c>
      <c r="E294" s="82"/>
      <c r="F294" s="83"/>
      <c r="G294" s="83"/>
      <c r="H294" s="83"/>
      <c r="I294" s="83"/>
      <c r="J294" s="83"/>
      <c r="K294" s="83"/>
      <c r="L294" s="83"/>
      <c r="M294" s="83"/>
      <c r="N294" s="83"/>
      <c r="O294" s="83"/>
      <c r="P294" s="83"/>
      <c r="Q294" s="83"/>
      <c r="R294" s="83"/>
      <c r="S294" s="83"/>
      <c r="T294" s="83"/>
      <c r="U294" s="83"/>
      <c r="V294" s="84"/>
      <c r="X294" s="141"/>
    </row>
    <row r="295" spans="3:24" ht="5.0999999999999996" customHeight="1" x14ac:dyDescent="0.2">
      <c r="C295" s="81"/>
      <c r="D295" s="83"/>
      <c r="E295" s="83"/>
      <c r="F295" s="83"/>
      <c r="G295" s="83"/>
      <c r="H295" s="83"/>
      <c r="I295" s="83"/>
      <c r="J295" s="83"/>
      <c r="K295" s="83"/>
      <c r="L295" s="83"/>
      <c r="M295" s="83"/>
      <c r="N295" s="83"/>
      <c r="O295" s="83"/>
      <c r="P295" s="83"/>
      <c r="Q295" s="83"/>
      <c r="R295" s="83"/>
      <c r="S295" s="83"/>
      <c r="T295" s="83"/>
      <c r="U295" s="83"/>
      <c r="V295" s="84"/>
      <c r="X295" s="141"/>
    </row>
    <row r="296" spans="3:24" x14ac:dyDescent="0.2">
      <c r="C296" s="81"/>
      <c r="D296" s="83" t="s">
        <v>21</v>
      </c>
      <c r="E296" s="83"/>
      <c r="F296" s="85" t="s">
        <v>130</v>
      </c>
      <c r="G296" s="85"/>
      <c r="H296" s="85"/>
      <c r="I296" s="86">
        <v>-5.2999999999999999E-2</v>
      </c>
      <c r="J296" s="87">
        <f>I296</f>
        <v>-5.2999999999999999E-2</v>
      </c>
      <c r="K296" s="87">
        <f>J296</f>
        <v>-5.2999999999999999E-2</v>
      </c>
      <c r="L296" s="87">
        <f t="shared" ref="L296:U296" si="46">K296</f>
        <v>-5.2999999999999999E-2</v>
      </c>
      <c r="M296" s="87">
        <f t="shared" si="46"/>
        <v>-5.2999999999999999E-2</v>
      </c>
      <c r="N296" s="87">
        <f t="shared" si="46"/>
        <v>-5.2999999999999999E-2</v>
      </c>
      <c r="O296" s="87">
        <f t="shared" si="46"/>
        <v>-5.2999999999999999E-2</v>
      </c>
      <c r="P296" s="87">
        <f t="shared" si="46"/>
        <v>-5.2999999999999999E-2</v>
      </c>
      <c r="Q296" s="87">
        <f t="shared" si="46"/>
        <v>-5.2999999999999999E-2</v>
      </c>
      <c r="R296" s="87">
        <f t="shared" si="46"/>
        <v>-5.2999999999999999E-2</v>
      </c>
      <c r="S296" s="87">
        <f t="shared" si="46"/>
        <v>-5.2999999999999999E-2</v>
      </c>
      <c r="T296" s="87">
        <f t="shared" si="46"/>
        <v>-5.2999999999999999E-2</v>
      </c>
      <c r="U296" s="87">
        <f t="shared" si="46"/>
        <v>-5.2999999999999999E-2</v>
      </c>
      <c r="V296" s="84"/>
      <c r="X296" s="141"/>
    </row>
    <row r="297" spans="3:24" x14ac:dyDescent="0.2">
      <c r="C297" s="81"/>
      <c r="D297" s="83" t="s">
        <v>22</v>
      </c>
      <c r="E297" s="83"/>
      <c r="F297" s="85" t="s">
        <v>130</v>
      </c>
      <c r="G297" s="85"/>
      <c r="H297" s="85"/>
      <c r="I297" s="86">
        <v>-5.2999999999999999E-2</v>
      </c>
      <c r="J297" s="87">
        <f t="shared" ref="J297:U297" si="47">I297</f>
        <v>-5.2999999999999999E-2</v>
      </c>
      <c r="K297" s="87">
        <f t="shared" si="47"/>
        <v>-5.2999999999999999E-2</v>
      </c>
      <c r="L297" s="87">
        <f t="shared" si="47"/>
        <v>-5.2999999999999999E-2</v>
      </c>
      <c r="M297" s="87">
        <f t="shared" si="47"/>
        <v>-5.2999999999999999E-2</v>
      </c>
      <c r="N297" s="87">
        <f t="shared" si="47"/>
        <v>-5.2999999999999999E-2</v>
      </c>
      <c r="O297" s="87">
        <f t="shared" si="47"/>
        <v>-5.2999999999999999E-2</v>
      </c>
      <c r="P297" s="87">
        <f t="shared" si="47"/>
        <v>-5.2999999999999999E-2</v>
      </c>
      <c r="Q297" s="87">
        <f t="shared" si="47"/>
        <v>-5.2999999999999999E-2</v>
      </c>
      <c r="R297" s="87">
        <f t="shared" si="47"/>
        <v>-5.2999999999999999E-2</v>
      </c>
      <c r="S297" s="87">
        <f t="shared" si="47"/>
        <v>-5.2999999999999999E-2</v>
      </c>
      <c r="T297" s="87">
        <f t="shared" si="47"/>
        <v>-5.2999999999999999E-2</v>
      </c>
      <c r="U297" s="87">
        <f t="shared" si="47"/>
        <v>-5.2999999999999999E-2</v>
      </c>
      <c r="V297" s="84"/>
      <c r="X297" s="141"/>
    </row>
    <row r="298" spans="3:24" x14ac:dyDescent="0.2">
      <c r="C298" s="81"/>
      <c r="D298" s="83" t="s">
        <v>23</v>
      </c>
      <c r="E298" s="83"/>
      <c r="F298" s="85" t="s">
        <v>130</v>
      </c>
      <c r="G298" s="85"/>
      <c r="H298" s="85"/>
      <c r="I298" s="86">
        <v>-5.2999999999999999E-2</v>
      </c>
      <c r="J298" s="87">
        <f t="shared" ref="J298:U298" si="48">I298</f>
        <v>-5.2999999999999999E-2</v>
      </c>
      <c r="K298" s="87">
        <f t="shared" si="48"/>
        <v>-5.2999999999999999E-2</v>
      </c>
      <c r="L298" s="87">
        <f t="shared" si="48"/>
        <v>-5.2999999999999999E-2</v>
      </c>
      <c r="M298" s="87">
        <f t="shared" si="48"/>
        <v>-5.2999999999999999E-2</v>
      </c>
      <c r="N298" s="87">
        <f t="shared" si="48"/>
        <v>-5.2999999999999999E-2</v>
      </c>
      <c r="O298" s="87">
        <f t="shared" si="48"/>
        <v>-5.2999999999999999E-2</v>
      </c>
      <c r="P298" s="87">
        <f t="shared" si="48"/>
        <v>-5.2999999999999999E-2</v>
      </c>
      <c r="Q298" s="87">
        <f t="shared" si="48"/>
        <v>-5.2999999999999999E-2</v>
      </c>
      <c r="R298" s="87">
        <f t="shared" si="48"/>
        <v>-5.2999999999999999E-2</v>
      </c>
      <c r="S298" s="87">
        <f t="shared" si="48"/>
        <v>-5.2999999999999999E-2</v>
      </c>
      <c r="T298" s="87">
        <f t="shared" si="48"/>
        <v>-5.2999999999999999E-2</v>
      </c>
      <c r="U298" s="87">
        <f t="shared" si="48"/>
        <v>-5.2999999999999999E-2</v>
      </c>
      <c r="V298" s="84"/>
      <c r="X298" s="141"/>
    </row>
    <row r="299" spans="3:24" ht="5.0999999999999996" customHeight="1" x14ac:dyDescent="0.2">
      <c r="C299" s="81"/>
      <c r="D299" s="83"/>
      <c r="E299" s="83"/>
      <c r="F299" s="83"/>
      <c r="G299" s="83"/>
      <c r="H299" s="83"/>
      <c r="I299" s="83"/>
      <c r="J299" s="83"/>
      <c r="K299" s="83"/>
      <c r="L299" s="83"/>
      <c r="M299" s="83"/>
      <c r="N299" s="83"/>
      <c r="O299" s="83"/>
      <c r="P299" s="83"/>
      <c r="Q299" s="83"/>
      <c r="R299" s="83"/>
      <c r="S299" s="83"/>
      <c r="T299" s="83"/>
      <c r="U299" s="83"/>
      <c r="V299" s="84"/>
      <c r="X299" s="141"/>
    </row>
    <row r="300" spans="3:24" x14ac:dyDescent="0.2">
      <c r="C300" s="81"/>
      <c r="D300" s="88" t="s">
        <v>24</v>
      </c>
      <c r="E300" s="88"/>
      <c r="F300" s="88"/>
      <c r="G300" s="88"/>
      <c r="H300" s="88"/>
      <c r="I300" s="90">
        <f t="shared" ref="I300:T300" si="49">INDEX(I295:I299,MATCH($G$25,$D295:$D299,0))</f>
        <v>-5.2999999999999999E-2</v>
      </c>
      <c r="J300" s="90">
        <f t="shared" si="49"/>
        <v>-5.2999999999999999E-2</v>
      </c>
      <c r="K300" s="90">
        <f t="shared" si="49"/>
        <v>-5.2999999999999999E-2</v>
      </c>
      <c r="L300" s="90">
        <f t="shared" si="49"/>
        <v>-5.2999999999999999E-2</v>
      </c>
      <c r="M300" s="90">
        <f t="shared" si="49"/>
        <v>-5.2999999999999999E-2</v>
      </c>
      <c r="N300" s="90">
        <f t="shared" si="49"/>
        <v>-5.2999999999999999E-2</v>
      </c>
      <c r="O300" s="90">
        <f t="shared" si="49"/>
        <v>-5.2999999999999999E-2</v>
      </c>
      <c r="P300" s="90">
        <f t="shared" si="49"/>
        <v>-5.2999999999999999E-2</v>
      </c>
      <c r="Q300" s="90">
        <f t="shared" si="49"/>
        <v>-5.2999999999999999E-2</v>
      </c>
      <c r="R300" s="90">
        <f t="shared" si="49"/>
        <v>-5.2999999999999999E-2</v>
      </c>
      <c r="S300" s="90">
        <f t="shared" si="49"/>
        <v>-5.2999999999999999E-2</v>
      </c>
      <c r="T300" s="90">
        <f t="shared" si="49"/>
        <v>-5.2999999999999999E-2</v>
      </c>
      <c r="U300" s="90">
        <f>INDEX(U295:U299,MATCH($G$25,$D295:$D299,0))</f>
        <v>-5.2999999999999999E-2</v>
      </c>
      <c r="V300" s="84"/>
      <c r="X300" s="141"/>
    </row>
    <row r="301" spans="3:24" ht="5.0999999999999996" customHeight="1" x14ac:dyDescent="0.2">
      <c r="C301" s="91"/>
      <c r="D301" s="92"/>
      <c r="E301" s="92"/>
      <c r="F301" s="92"/>
      <c r="G301" s="92"/>
      <c r="H301" s="92"/>
      <c r="I301" s="92"/>
      <c r="J301" s="92"/>
      <c r="K301" s="92"/>
      <c r="L301" s="92"/>
      <c r="M301" s="92"/>
      <c r="N301" s="92"/>
      <c r="O301" s="92"/>
      <c r="P301" s="92"/>
      <c r="Q301" s="92"/>
      <c r="R301" s="92"/>
      <c r="S301" s="92"/>
      <c r="T301" s="92"/>
      <c r="U301" s="92"/>
      <c r="V301" s="93"/>
      <c r="X301" s="141"/>
    </row>
    <row r="302" spans="3:24" x14ac:dyDescent="0.2">
      <c r="X302" s="141"/>
    </row>
    <row r="303" spans="3:24" ht="5.0999999999999996" customHeight="1" x14ac:dyDescent="0.2">
      <c r="C303" s="78"/>
      <c r="D303" s="79"/>
      <c r="E303" s="79"/>
      <c r="F303" s="79"/>
      <c r="G303" s="79"/>
      <c r="H303" s="79"/>
      <c r="I303" s="79"/>
      <c r="J303" s="79"/>
      <c r="K303" s="79"/>
      <c r="L303" s="79"/>
      <c r="M303" s="79"/>
      <c r="N303" s="79"/>
      <c r="O303" s="79"/>
      <c r="P303" s="79"/>
      <c r="Q303" s="79"/>
      <c r="R303" s="79"/>
      <c r="S303" s="79"/>
      <c r="T303" s="79"/>
      <c r="U303" s="79"/>
      <c r="V303" s="80"/>
      <c r="X303" s="141"/>
    </row>
    <row r="304" spans="3:24" x14ac:dyDescent="0.2">
      <c r="C304" s="81"/>
      <c r="D304" s="82" t="s">
        <v>131</v>
      </c>
      <c r="E304" s="82"/>
      <c r="F304" s="83"/>
      <c r="G304" s="83"/>
      <c r="H304" s="83"/>
      <c r="I304" s="83"/>
      <c r="J304" s="83"/>
      <c r="K304" s="83"/>
      <c r="L304" s="83"/>
      <c r="M304" s="83"/>
      <c r="N304" s="83"/>
      <c r="O304" s="83"/>
      <c r="P304" s="83"/>
      <c r="Q304" s="83"/>
      <c r="R304" s="83"/>
      <c r="S304" s="83"/>
      <c r="T304" s="83"/>
      <c r="U304" s="83"/>
      <c r="V304" s="84"/>
      <c r="X304" s="141"/>
    </row>
    <row r="305" spans="3:24" ht="5.0999999999999996" customHeight="1" x14ac:dyDescent="0.2">
      <c r="C305" s="81"/>
      <c r="D305" s="83"/>
      <c r="E305" s="83"/>
      <c r="F305" s="83"/>
      <c r="G305" s="83"/>
      <c r="H305" s="83"/>
      <c r="I305" s="83"/>
      <c r="J305" s="83"/>
      <c r="K305" s="83"/>
      <c r="L305" s="83"/>
      <c r="M305" s="83"/>
      <c r="N305" s="83"/>
      <c r="O305" s="83"/>
      <c r="P305" s="83"/>
      <c r="Q305" s="83"/>
      <c r="R305" s="83"/>
      <c r="S305" s="83"/>
      <c r="T305" s="83"/>
      <c r="U305" s="83"/>
      <c r="V305" s="84"/>
      <c r="X305" s="141"/>
    </row>
    <row r="306" spans="3:24" x14ac:dyDescent="0.2">
      <c r="C306" s="81"/>
      <c r="D306" s="83" t="s">
        <v>21</v>
      </c>
      <c r="E306" s="83"/>
      <c r="F306" s="85" t="s">
        <v>130</v>
      </c>
      <c r="G306" s="85"/>
      <c r="H306" s="85"/>
      <c r="I306" s="86">
        <v>-4.9000000000000002E-2</v>
      </c>
      <c r="J306" s="87">
        <f>I306</f>
        <v>-4.9000000000000002E-2</v>
      </c>
      <c r="K306" s="87">
        <f>J306</f>
        <v>-4.9000000000000002E-2</v>
      </c>
      <c r="L306" s="87">
        <f t="shared" ref="L306:U306" si="50">K306</f>
        <v>-4.9000000000000002E-2</v>
      </c>
      <c r="M306" s="87">
        <f t="shared" si="50"/>
        <v>-4.9000000000000002E-2</v>
      </c>
      <c r="N306" s="87">
        <f t="shared" si="50"/>
        <v>-4.9000000000000002E-2</v>
      </c>
      <c r="O306" s="87">
        <f t="shared" si="50"/>
        <v>-4.9000000000000002E-2</v>
      </c>
      <c r="P306" s="87">
        <f t="shared" si="50"/>
        <v>-4.9000000000000002E-2</v>
      </c>
      <c r="Q306" s="87">
        <f t="shared" si="50"/>
        <v>-4.9000000000000002E-2</v>
      </c>
      <c r="R306" s="87">
        <f t="shared" si="50"/>
        <v>-4.9000000000000002E-2</v>
      </c>
      <c r="S306" s="87">
        <f t="shared" si="50"/>
        <v>-4.9000000000000002E-2</v>
      </c>
      <c r="T306" s="87">
        <f t="shared" si="50"/>
        <v>-4.9000000000000002E-2</v>
      </c>
      <c r="U306" s="87">
        <f t="shared" si="50"/>
        <v>-4.9000000000000002E-2</v>
      </c>
      <c r="V306" s="84"/>
      <c r="X306" s="141"/>
    </row>
    <row r="307" spans="3:24" x14ac:dyDescent="0.2">
      <c r="C307" s="81"/>
      <c r="D307" s="83" t="s">
        <v>22</v>
      </c>
      <c r="E307" s="83"/>
      <c r="F307" s="85" t="s">
        <v>130</v>
      </c>
      <c r="G307" s="85"/>
      <c r="H307" s="85"/>
      <c r="I307" s="86">
        <v>-4.9000000000000002E-2</v>
      </c>
      <c r="J307" s="87">
        <f t="shared" ref="J307:U307" si="51">I307</f>
        <v>-4.9000000000000002E-2</v>
      </c>
      <c r="K307" s="87">
        <f t="shared" si="51"/>
        <v>-4.9000000000000002E-2</v>
      </c>
      <c r="L307" s="87">
        <f t="shared" si="51"/>
        <v>-4.9000000000000002E-2</v>
      </c>
      <c r="M307" s="87">
        <f t="shared" si="51"/>
        <v>-4.9000000000000002E-2</v>
      </c>
      <c r="N307" s="87">
        <f t="shared" si="51"/>
        <v>-4.9000000000000002E-2</v>
      </c>
      <c r="O307" s="87">
        <f t="shared" si="51"/>
        <v>-4.9000000000000002E-2</v>
      </c>
      <c r="P307" s="87">
        <f t="shared" si="51"/>
        <v>-4.9000000000000002E-2</v>
      </c>
      <c r="Q307" s="87">
        <f t="shared" si="51"/>
        <v>-4.9000000000000002E-2</v>
      </c>
      <c r="R307" s="87">
        <f t="shared" si="51"/>
        <v>-4.9000000000000002E-2</v>
      </c>
      <c r="S307" s="87">
        <f t="shared" si="51"/>
        <v>-4.9000000000000002E-2</v>
      </c>
      <c r="T307" s="87">
        <f t="shared" si="51"/>
        <v>-4.9000000000000002E-2</v>
      </c>
      <c r="U307" s="87">
        <f t="shared" si="51"/>
        <v>-4.9000000000000002E-2</v>
      </c>
      <c r="V307" s="84"/>
      <c r="X307" s="141"/>
    </row>
    <row r="308" spans="3:24" x14ac:dyDescent="0.2">
      <c r="C308" s="81"/>
      <c r="D308" s="83" t="s">
        <v>23</v>
      </c>
      <c r="E308" s="83"/>
      <c r="F308" s="85" t="s">
        <v>130</v>
      </c>
      <c r="G308" s="85"/>
      <c r="H308" s="85"/>
      <c r="I308" s="86">
        <v>-4.9000000000000002E-2</v>
      </c>
      <c r="J308" s="87">
        <f t="shared" ref="J308:U308" si="52">I308</f>
        <v>-4.9000000000000002E-2</v>
      </c>
      <c r="K308" s="87">
        <f t="shared" si="52"/>
        <v>-4.9000000000000002E-2</v>
      </c>
      <c r="L308" s="87">
        <f t="shared" si="52"/>
        <v>-4.9000000000000002E-2</v>
      </c>
      <c r="M308" s="87">
        <f t="shared" si="52"/>
        <v>-4.9000000000000002E-2</v>
      </c>
      <c r="N308" s="87">
        <f t="shared" si="52"/>
        <v>-4.9000000000000002E-2</v>
      </c>
      <c r="O308" s="87">
        <f t="shared" si="52"/>
        <v>-4.9000000000000002E-2</v>
      </c>
      <c r="P308" s="87">
        <f t="shared" si="52"/>
        <v>-4.9000000000000002E-2</v>
      </c>
      <c r="Q308" s="87">
        <f t="shared" si="52"/>
        <v>-4.9000000000000002E-2</v>
      </c>
      <c r="R308" s="87">
        <f t="shared" si="52"/>
        <v>-4.9000000000000002E-2</v>
      </c>
      <c r="S308" s="87">
        <f t="shared" si="52"/>
        <v>-4.9000000000000002E-2</v>
      </c>
      <c r="T308" s="87">
        <f t="shared" si="52"/>
        <v>-4.9000000000000002E-2</v>
      </c>
      <c r="U308" s="87">
        <f t="shared" si="52"/>
        <v>-4.9000000000000002E-2</v>
      </c>
      <c r="V308" s="84"/>
      <c r="X308" s="141"/>
    </row>
    <row r="309" spans="3:24" ht="5.0999999999999996" customHeight="1" x14ac:dyDescent="0.2">
      <c r="C309" s="81"/>
      <c r="D309" s="83"/>
      <c r="E309" s="83"/>
      <c r="F309" s="83"/>
      <c r="G309" s="83"/>
      <c r="H309" s="83"/>
      <c r="I309" s="83"/>
      <c r="J309" s="83"/>
      <c r="K309" s="83"/>
      <c r="L309" s="83"/>
      <c r="M309" s="83"/>
      <c r="N309" s="83"/>
      <c r="O309" s="83"/>
      <c r="P309" s="83"/>
      <c r="Q309" s="83"/>
      <c r="R309" s="83"/>
      <c r="S309" s="83"/>
      <c r="T309" s="83"/>
      <c r="U309" s="83"/>
      <c r="V309" s="84"/>
      <c r="X309" s="141"/>
    </row>
    <row r="310" spans="3:24" x14ac:dyDescent="0.2">
      <c r="C310" s="81"/>
      <c r="D310" s="88" t="s">
        <v>24</v>
      </c>
      <c r="E310" s="88"/>
      <c r="F310" s="88"/>
      <c r="G310" s="88"/>
      <c r="H310" s="88"/>
      <c r="I310" s="90">
        <f t="shared" ref="I310:T310" si="53">INDEX(I305:I309,MATCH($G$25,$D305:$D309,0))</f>
        <v>-4.9000000000000002E-2</v>
      </c>
      <c r="J310" s="90">
        <f t="shared" si="53"/>
        <v>-4.9000000000000002E-2</v>
      </c>
      <c r="K310" s="90">
        <f t="shared" si="53"/>
        <v>-4.9000000000000002E-2</v>
      </c>
      <c r="L310" s="90">
        <f t="shared" si="53"/>
        <v>-4.9000000000000002E-2</v>
      </c>
      <c r="M310" s="90">
        <f t="shared" si="53"/>
        <v>-4.9000000000000002E-2</v>
      </c>
      <c r="N310" s="90">
        <f t="shared" si="53"/>
        <v>-4.9000000000000002E-2</v>
      </c>
      <c r="O310" s="90">
        <f t="shared" si="53"/>
        <v>-4.9000000000000002E-2</v>
      </c>
      <c r="P310" s="90">
        <f t="shared" si="53"/>
        <v>-4.9000000000000002E-2</v>
      </c>
      <c r="Q310" s="90">
        <f t="shared" si="53"/>
        <v>-4.9000000000000002E-2</v>
      </c>
      <c r="R310" s="90">
        <f t="shared" si="53"/>
        <v>-4.9000000000000002E-2</v>
      </c>
      <c r="S310" s="90">
        <f t="shared" si="53"/>
        <v>-4.9000000000000002E-2</v>
      </c>
      <c r="T310" s="90">
        <f t="shared" si="53"/>
        <v>-4.9000000000000002E-2</v>
      </c>
      <c r="U310" s="90">
        <f>INDEX(U305:U309,MATCH($G$25,$D305:$D309,0))</f>
        <v>-4.9000000000000002E-2</v>
      </c>
      <c r="V310" s="84"/>
      <c r="X310" s="141"/>
    </row>
    <row r="311" spans="3:24" ht="5.0999999999999996" customHeight="1" x14ac:dyDescent="0.2">
      <c r="C311" s="91"/>
      <c r="D311" s="92"/>
      <c r="E311" s="92"/>
      <c r="F311" s="92"/>
      <c r="G311" s="92"/>
      <c r="H311" s="92"/>
      <c r="I311" s="92"/>
      <c r="J311" s="92"/>
      <c r="K311" s="92"/>
      <c r="L311" s="92"/>
      <c r="M311" s="92"/>
      <c r="N311" s="92"/>
      <c r="O311" s="92"/>
      <c r="P311" s="92"/>
      <c r="Q311" s="92"/>
      <c r="R311" s="92"/>
      <c r="S311" s="92"/>
      <c r="T311" s="92"/>
      <c r="U311" s="92"/>
      <c r="V311" s="93"/>
      <c r="X311" s="141"/>
    </row>
    <row r="312" spans="3:24" x14ac:dyDescent="0.2">
      <c r="X312" s="141"/>
    </row>
    <row r="313" spans="3:24" ht="5.0999999999999996" customHeight="1" x14ac:dyDescent="0.2">
      <c r="C313" s="78"/>
      <c r="D313" s="79"/>
      <c r="E313" s="79"/>
      <c r="F313" s="79"/>
      <c r="G313" s="79"/>
      <c r="H313" s="79"/>
      <c r="I313" s="79"/>
      <c r="J313" s="79"/>
      <c r="K313" s="79"/>
      <c r="L313" s="79"/>
      <c r="M313" s="79"/>
      <c r="N313" s="79"/>
      <c r="O313" s="79"/>
      <c r="P313" s="79"/>
      <c r="Q313" s="79"/>
      <c r="R313" s="79"/>
      <c r="S313" s="79"/>
      <c r="T313" s="79"/>
      <c r="U313" s="79"/>
      <c r="V313" s="80"/>
      <c r="X313" s="141"/>
    </row>
    <row r="314" spans="3:24" x14ac:dyDescent="0.2">
      <c r="C314" s="81"/>
      <c r="D314" s="82" t="s">
        <v>14</v>
      </c>
      <c r="E314" s="82"/>
      <c r="F314" s="83"/>
      <c r="G314" s="83"/>
      <c r="H314" s="83"/>
      <c r="I314" s="83"/>
      <c r="J314" s="83"/>
      <c r="K314" s="83"/>
      <c r="L314" s="83"/>
      <c r="M314" s="83"/>
      <c r="N314" s="83"/>
      <c r="O314" s="83"/>
      <c r="P314" s="83"/>
      <c r="Q314" s="83"/>
      <c r="R314" s="83"/>
      <c r="S314" s="83"/>
      <c r="T314" s="83"/>
      <c r="U314" s="83"/>
      <c r="V314" s="84"/>
      <c r="X314" s="141"/>
    </row>
    <row r="315" spans="3:24" ht="5.0999999999999996" customHeight="1" x14ac:dyDescent="0.2">
      <c r="C315" s="81"/>
      <c r="D315" s="83"/>
      <c r="E315" s="83"/>
      <c r="F315" s="83"/>
      <c r="G315" s="83"/>
      <c r="H315" s="83"/>
      <c r="I315" s="83"/>
      <c r="J315" s="83"/>
      <c r="K315" s="83"/>
      <c r="L315" s="83"/>
      <c r="M315" s="83"/>
      <c r="N315" s="83"/>
      <c r="O315" s="83"/>
      <c r="P315" s="83"/>
      <c r="Q315" s="83"/>
      <c r="R315" s="83"/>
      <c r="S315" s="83"/>
      <c r="T315" s="83"/>
      <c r="U315" s="83"/>
      <c r="V315" s="84"/>
      <c r="X315" s="141"/>
    </row>
    <row r="316" spans="3:24" x14ac:dyDescent="0.2">
      <c r="C316" s="81"/>
      <c r="D316" s="83" t="s">
        <v>21</v>
      </c>
      <c r="E316" s="83"/>
      <c r="F316" s="85" t="s">
        <v>130</v>
      </c>
      <c r="G316" s="85"/>
      <c r="H316" s="85"/>
      <c r="I316" s="86">
        <v>-0.05</v>
      </c>
      <c r="J316" s="87">
        <f>I316</f>
        <v>-0.05</v>
      </c>
      <c r="K316" s="87">
        <f>J316</f>
        <v>-0.05</v>
      </c>
      <c r="L316" s="87">
        <f t="shared" ref="L316:U316" si="54">K316</f>
        <v>-0.05</v>
      </c>
      <c r="M316" s="87">
        <f t="shared" si="54"/>
        <v>-0.05</v>
      </c>
      <c r="N316" s="87">
        <f t="shared" si="54"/>
        <v>-0.05</v>
      </c>
      <c r="O316" s="87">
        <f t="shared" si="54"/>
        <v>-0.05</v>
      </c>
      <c r="P316" s="87">
        <f t="shared" si="54"/>
        <v>-0.05</v>
      </c>
      <c r="Q316" s="87">
        <f t="shared" si="54"/>
        <v>-0.05</v>
      </c>
      <c r="R316" s="87">
        <f t="shared" si="54"/>
        <v>-0.05</v>
      </c>
      <c r="S316" s="87">
        <f t="shared" si="54"/>
        <v>-0.05</v>
      </c>
      <c r="T316" s="87">
        <f t="shared" si="54"/>
        <v>-0.05</v>
      </c>
      <c r="U316" s="87">
        <f t="shared" si="54"/>
        <v>-0.05</v>
      </c>
      <c r="V316" s="84"/>
      <c r="X316" s="141"/>
    </row>
    <row r="317" spans="3:24" x14ac:dyDescent="0.2">
      <c r="C317" s="81"/>
      <c r="D317" s="83" t="s">
        <v>22</v>
      </c>
      <c r="E317" s="83"/>
      <c r="F317" s="85" t="s">
        <v>130</v>
      </c>
      <c r="G317" s="85"/>
      <c r="H317" s="85"/>
      <c r="I317" s="86">
        <v>-0.05</v>
      </c>
      <c r="J317" s="87">
        <f t="shared" ref="J317:U317" si="55">I317</f>
        <v>-0.05</v>
      </c>
      <c r="K317" s="87">
        <f t="shared" si="55"/>
        <v>-0.05</v>
      </c>
      <c r="L317" s="87">
        <f t="shared" si="55"/>
        <v>-0.05</v>
      </c>
      <c r="M317" s="87">
        <f t="shared" si="55"/>
        <v>-0.05</v>
      </c>
      <c r="N317" s="87">
        <f t="shared" si="55"/>
        <v>-0.05</v>
      </c>
      <c r="O317" s="87">
        <f t="shared" si="55"/>
        <v>-0.05</v>
      </c>
      <c r="P317" s="87">
        <f t="shared" si="55"/>
        <v>-0.05</v>
      </c>
      <c r="Q317" s="87">
        <f t="shared" si="55"/>
        <v>-0.05</v>
      </c>
      <c r="R317" s="87">
        <f t="shared" si="55"/>
        <v>-0.05</v>
      </c>
      <c r="S317" s="87">
        <f t="shared" si="55"/>
        <v>-0.05</v>
      </c>
      <c r="T317" s="87">
        <f t="shared" si="55"/>
        <v>-0.05</v>
      </c>
      <c r="U317" s="87">
        <f t="shared" si="55"/>
        <v>-0.05</v>
      </c>
      <c r="V317" s="84"/>
      <c r="X317" s="141"/>
    </row>
    <row r="318" spans="3:24" x14ac:dyDescent="0.2">
      <c r="C318" s="81"/>
      <c r="D318" s="83" t="s">
        <v>23</v>
      </c>
      <c r="E318" s="83"/>
      <c r="F318" s="85" t="s">
        <v>130</v>
      </c>
      <c r="G318" s="85"/>
      <c r="H318" s="85"/>
      <c r="I318" s="86">
        <v>-0.05</v>
      </c>
      <c r="J318" s="87">
        <f t="shared" ref="J318:U318" si="56">I318</f>
        <v>-0.05</v>
      </c>
      <c r="K318" s="87">
        <f t="shared" si="56"/>
        <v>-0.05</v>
      </c>
      <c r="L318" s="87">
        <f t="shared" si="56"/>
        <v>-0.05</v>
      </c>
      <c r="M318" s="87">
        <f t="shared" si="56"/>
        <v>-0.05</v>
      </c>
      <c r="N318" s="87">
        <f t="shared" si="56"/>
        <v>-0.05</v>
      </c>
      <c r="O318" s="87">
        <f t="shared" si="56"/>
        <v>-0.05</v>
      </c>
      <c r="P318" s="87">
        <f t="shared" si="56"/>
        <v>-0.05</v>
      </c>
      <c r="Q318" s="87">
        <f t="shared" si="56"/>
        <v>-0.05</v>
      </c>
      <c r="R318" s="87">
        <f t="shared" si="56"/>
        <v>-0.05</v>
      </c>
      <c r="S318" s="87">
        <f t="shared" si="56"/>
        <v>-0.05</v>
      </c>
      <c r="T318" s="87">
        <f t="shared" si="56"/>
        <v>-0.05</v>
      </c>
      <c r="U318" s="87">
        <f t="shared" si="56"/>
        <v>-0.05</v>
      </c>
      <c r="V318" s="84"/>
      <c r="X318" s="141"/>
    </row>
    <row r="319" spans="3:24" ht="5.0999999999999996" customHeight="1" x14ac:dyDescent="0.2">
      <c r="C319" s="81"/>
      <c r="D319" s="83"/>
      <c r="E319" s="83"/>
      <c r="F319" s="83"/>
      <c r="G319" s="83"/>
      <c r="H319" s="83"/>
      <c r="I319" s="83"/>
      <c r="J319" s="83"/>
      <c r="K319" s="83"/>
      <c r="L319" s="83"/>
      <c r="M319" s="83"/>
      <c r="N319" s="83"/>
      <c r="O319" s="83"/>
      <c r="P319" s="83"/>
      <c r="Q319" s="83"/>
      <c r="R319" s="83"/>
      <c r="S319" s="83"/>
      <c r="T319" s="83"/>
      <c r="U319" s="83"/>
      <c r="V319" s="84"/>
      <c r="X319" s="141"/>
    </row>
    <row r="320" spans="3:24" x14ac:dyDescent="0.2">
      <c r="C320" s="81"/>
      <c r="D320" s="88" t="s">
        <v>24</v>
      </c>
      <c r="E320" s="88"/>
      <c r="F320" s="88"/>
      <c r="G320" s="88"/>
      <c r="H320" s="88"/>
      <c r="I320" s="90">
        <f t="shared" ref="I320:T320" si="57">INDEX(I315:I319,MATCH($G$25,$D315:$D319,0))</f>
        <v>-0.05</v>
      </c>
      <c r="J320" s="90">
        <f t="shared" si="57"/>
        <v>-0.05</v>
      </c>
      <c r="K320" s="90">
        <f t="shared" si="57"/>
        <v>-0.05</v>
      </c>
      <c r="L320" s="90">
        <f t="shared" si="57"/>
        <v>-0.05</v>
      </c>
      <c r="M320" s="90">
        <f t="shared" si="57"/>
        <v>-0.05</v>
      </c>
      <c r="N320" s="90">
        <f t="shared" si="57"/>
        <v>-0.05</v>
      </c>
      <c r="O320" s="90">
        <f t="shared" si="57"/>
        <v>-0.05</v>
      </c>
      <c r="P320" s="90">
        <f t="shared" si="57"/>
        <v>-0.05</v>
      </c>
      <c r="Q320" s="90">
        <f t="shared" si="57"/>
        <v>-0.05</v>
      </c>
      <c r="R320" s="90">
        <f t="shared" si="57"/>
        <v>-0.05</v>
      </c>
      <c r="S320" s="90">
        <f t="shared" si="57"/>
        <v>-0.05</v>
      </c>
      <c r="T320" s="90">
        <f t="shared" si="57"/>
        <v>-0.05</v>
      </c>
      <c r="U320" s="90">
        <f>INDEX(U315:U319,MATCH($G$25,$D315:$D319,0))</f>
        <v>-0.05</v>
      </c>
      <c r="V320" s="84"/>
      <c r="X320" s="141"/>
    </row>
    <row r="321" spans="3:24" ht="5.0999999999999996" customHeight="1" x14ac:dyDescent="0.2">
      <c r="C321" s="91"/>
      <c r="D321" s="92"/>
      <c r="E321" s="92"/>
      <c r="F321" s="92"/>
      <c r="G321" s="92"/>
      <c r="H321" s="92"/>
      <c r="I321" s="92"/>
      <c r="J321" s="92"/>
      <c r="K321" s="92"/>
      <c r="L321" s="92"/>
      <c r="M321" s="92"/>
      <c r="N321" s="92"/>
      <c r="O321" s="92"/>
      <c r="P321" s="92"/>
      <c r="Q321" s="92"/>
      <c r="R321" s="92"/>
      <c r="S321" s="92"/>
      <c r="T321" s="92"/>
      <c r="U321" s="92"/>
      <c r="V321" s="93"/>
      <c r="X321" s="141"/>
    </row>
    <row r="322" spans="3:24" x14ac:dyDescent="0.2">
      <c r="X322" s="141"/>
    </row>
    <row r="323" spans="3:24" ht="5.0999999999999996" customHeight="1" x14ac:dyDescent="0.2">
      <c r="C323" s="78"/>
      <c r="D323" s="79"/>
      <c r="E323" s="79"/>
      <c r="F323" s="79"/>
      <c r="G323" s="79"/>
      <c r="H323" s="79"/>
      <c r="I323" s="79"/>
      <c r="J323" s="79"/>
      <c r="K323" s="79"/>
      <c r="L323" s="79"/>
      <c r="M323" s="79"/>
      <c r="N323" s="79"/>
      <c r="O323" s="79"/>
      <c r="P323" s="79"/>
      <c r="Q323" s="79"/>
      <c r="R323" s="79"/>
      <c r="S323" s="79"/>
      <c r="T323" s="79"/>
      <c r="U323" s="79"/>
      <c r="V323" s="80"/>
      <c r="X323" s="141"/>
    </row>
    <row r="324" spans="3:24" x14ac:dyDescent="0.2">
      <c r="C324" s="81"/>
      <c r="D324" s="82" t="s">
        <v>122</v>
      </c>
      <c r="E324" s="82"/>
      <c r="F324" s="83"/>
      <c r="G324" s="83"/>
      <c r="H324" s="83"/>
      <c r="I324" s="83"/>
      <c r="J324" s="83"/>
      <c r="K324" s="83"/>
      <c r="L324" s="83"/>
      <c r="M324" s="83"/>
      <c r="N324" s="83"/>
      <c r="O324" s="83"/>
      <c r="P324" s="83"/>
      <c r="Q324" s="83"/>
      <c r="R324" s="83"/>
      <c r="S324" s="83"/>
      <c r="T324" s="83"/>
      <c r="U324" s="83"/>
      <c r="V324" s="84"/>
      <c r="X324" s="141"/>
    </row>
    <row r="325" spans="3:24" ht="5.0999999999999996" customHeight="1" x14ac:dyDescent="0.2">
      <c r="C325" s="81"/>
      <c r="D325" s="83"/>
      <c r="E325" s="83"/>
      <c r="F325" s="83"/>
      <c r="G325" s="83"/>
      <c r="H325" s="83"/>
      <c r="I325" s="83"/>
      <c r="J325" s="83"/>
      <c r="K325" s="83"/>
      <c r="L325" s="83"/>
      <c r="M325" s="83"/>
      <c r="N325" s="83"/>
      <c r="O325" s="83"/>
      <c r="P325" s="83"/>
      <c r="Q325" s="83"/>
      <c r="R325" s="83"/>
      <c r="S325" s="83"/>
      <c r="T325" s="83"/>
      <c r="U325" s="83"/>
      <c r="V325" s="84"/>
      <c r="X325" s="141"/>
    </row>
    <row r="326" spans="3:24" x14ac:dyDescent="0.2">
      <c r="C326" s="81"/>
      <c r="D326" s="83" t="s">
        <v>21</v>
      </c>
      <c r="E326" s="83"/>
      <c r="F326" s="85" t="s">
        <v>273</v>
      </c>
      <c r="G326" s="85"/>
      <c r="H326" s="85"/>
      <c r="I326" s="94">
        <v>-7</v>
      </c>
      <c r="J326" s="95">
        <f t="shared" ref="J326:U326" si="58">I326*(1+J396)</f>
        <v>-7.1400000000000006</v>
      </c>
      <c r="K326" s="95">
        <f t="shared" si="58"/>
        <v>-7.2828000000000008</v>
      </c>
      <c r="L326" s="95">
        <f t="shared" si="58"/>
        <v>-7.4284560000000006</v>
      </c>
      <c r="M326" s="95">
        <f t="shared" si="58"/>
        <v>-7.5770251200000009</v>
      </c>
      <c r="N326" s="95">
        <f t="shared" si="58"/>
        <v>-7.7285656224000014</v>
      </c>
      <c r="O326" s="95">
        <f t="shared" si="58"/>
        <v>-7.883136934848002</v>
      </c>
      <c r="P326" s="95">
        <f t="shared" si="58"/>
        <v>-8.0407996735449618</v>
      </c>
      <c r="Q326" s="95">
        <f t="shared" si="58"/>
        <v>-8.2016156670158615</v>
      </c>
      <c r="R326" s="95">
        <f t="shared" si="58"/>
        <v>-8.3656479803561794</v>
      </c>
      <c r="S326" s="95">
        <f t="shared" si="58"/>
        <v>-8.5329609399633028</v>
      </c>
      <c r="T326" s="95">
        <f t="shared" si="58"/>
        <v>-8.7036201587625683</v>
      </c>
      <c r="U326" s="95">
        <f t="shared" si="58"/>
        <v>-8.8776925619378204</v>
      </c>
      <c r="V326" s="84"/>
      <c r="X326" s="141"/>
    </row>
    <row r="327" spans="3:24" x14ac:dyDescent="0.2">
      <c r="C327" s="81"/>
      <c r="D327" s="83" t="s">
        <v>22</v>
      </c>
      <c r="E327" s="83"/>
      <c r="F327" s="85" t="s">
        <v>273</v>
      </c>
      <c r="G327" s="85"/>
      <c r="H327" s="85"/>
      <c r="I327" s="94">
        <v>-7.2</v>
      </c>
      <c r="J327" s="95">
        <f t="shared" ref="J327:U327" si="59">I327*(1+J397)</f>
        <v>-7.3440000000000003</v>
      </c>
      <c r="K327" s="95">
        <f t="shared" si="59"/>
        <v>-7.4908800000000006</v>
      </c>
      <c r="L327" s="95">
        <f t="shared" si="59"/>
        <v>-7.6406976000000011</v>
      </c>
      <c r="M327" s="95">
        <f t="shared" si="59"/>
        <v>-7.7935115520000009</v>
      </c>
      <c r="N327" s="95">
        <f t="shared" si="59"/>
        <v>-7.9493817830400006</v>
      </c>
      <c r="O327" s="95">
        <f t="shared" si="59"/>
        <v>-8.1083694187008</v>
      </c>
      <c r="P327" s="95">
        <f t="shared" si="59"/>
        <v>-8.2705368070748158</v>
      </c>
      <c r="Q327" s="95">
        <f t="shared" si="59"/>
        <v>-8.4359475432163116</v>
      </c>
      <c r="R327" s="95">
        <f t="shared" si="59"/>
        <v>-8.6046664940806377</v>
      </c>
      <c r="S327" s="95">
        <f t="shared" si="59"/>
        <v>-8.7767598239622497</v>
      </c>
      <c r="T327" s="95">
        <f t="shared" si="59"/>
        <v>-8.9522950204414951</v>
      </c>
      <c r="U327" s="95">
        <f t="shared" si="59"/>
        <v>-9.1313409208503256</v>
      </c>
      <c r="V327" s="84"/>
      <c r="X327" s="141"/>
    </row>
    <row r="328" spans="3:24" x14ac:dyDescent="0.2">
      <c r="C328" s="81"/>
      <c r="D328" s="83" t="s">
        <v>23</v>
      </c>
      <c r="E328" s="83"/>
      <c r="F328" s="85" t="s">
        <v>273</v>
      </c>
      <c r="G328" s="85"/>
      <c r="H328" s="85"/>
      <c r="I328" s="94">
        <v>-6.8</v>
      </c>
      <c r="J328" s="95">
        <f t="shared" ref="J328:U328" si="60">I328*(1+J398)</f>
        <v>-6.9359999999999999</v>
      </c>
      <c r="K328" s="95">
        <f t="shared" si="60"/>
        <v>-7.0747200000000001</v>
      </c>
      <c r="L328" s="95">
        <f t="shared" si="60"/>
        <v>-7.2162144000000001</v>
      </c>
      <c r="M328" s="95">
        <f t="shared" si="60"/>
        <v>-7.3605386880000001</v>
      </c>
      <c r="N328" s="95">
        <f t="shared" si="60"/>
        <v>-7.5077494617600005</v>
      </c>
      <c r="O328" s="95">
        <f t="shared" si="60"/>
        <v>-7.6579044509952006</v>
      </c>
      <c r="P328" s="95">
        <f t="shared" si="60"/>
        <v>-7.8110625400151044</v>
      </c>
      <c r="Q328" s="95">
        <f t="shared" si="60"/>
        <v>-7.9672837908154062</v>
      </c>
      <c r="R328" s="95">
        <f t="shared" si="60"/>
        <v>-8.126629466631714</v>
      </c>
      <c r="S328" s="95">
        <f t="shared" si="60"/>
        <v>-8.2891620559643489</v>
      </c>
      <c r="T328" s="95">
        <f t="shared" si="60"/>
        <v>-8.4549452970836363</v>
      </c>
      <c r="U328" s="95">
        <f t="shared" si="60"/>
        <v>-8.6240442030253099</v>
      </c>
      <c r="V328" s="84"/>
      <c r="X328" s="141"/>
    </row>
    <row r="329" spans="3:24" ht="5.0999999999999996" customHeight="1" x14ac:dyDescent="0.2">
      <c r="C329" s="81"/>
      <c r="D329" s="83"/>
      <c r="E329" s="83"/>
      <c r="F329" s="83"/>
      <c r="G329" s="83"/>
      <c r="H329" s="83"/>
      <c r="I329" s="96"/>
      <c r="J329" s="96"/>
      <c r="K329" s="96"/>
      <c r="L329" s="96"/>
      <c r="M329" s="96"/>
      <c r="N329" s="96"/>
      <c r="O329" s="96"/>
      <c r="P329" s="96"/>
      <c r="Q329" s="96"/>
      <c r="R329" s="96"/>
      <c r="S329" s="96"/>
      <c r="T329" s="96"/>
      <c r="U329" s="96"/>
      <c r="V329" s="84"/>
      <c r="X329" s="141"/>
    </row>
    <row r="330" spans="3:24" x14ac:dyDescent="0.2">
      <c r="C330" s="81"/>
      <c r="D330" s="88" t="s">
        <v>24</v>
      </c>
      <c r="E330" s="88"/>
      <c r="F330" s="88"/>
      <c r="G330" s="88"/>
      <c r="H330" s="88"/>
      <c r="I330" s="97">
        <f t="shared" ref="I330:T330" si="61">INDEX(I325:I329,MATCH($G$25,$D325:$D329,0))</f>
        <v>-7</v>
      </c>
      <c r="J330" s="97">
        <f t="shared" si="61"/>
        <v>-7.1400000000000006</v>
      </c>
      <c r="K330" s="97">
        <f t="shared" si="61"/>
        <v>-7.2828000000000008</v>
      </c>
      <c r="L330" s="97">
        <f t="shared" si="61"/>
        <v>-7.4284560000000006</v>
      </c>
      <c r="M330" s="97">
        <f t="shared" si="61"/>
        <v>-7.5770251200000009</v>
      </c>
      <c r="N330" s="97">
        <f t="shared" si="61"/>
        <v>-7.7285656224000014</v>
      </c>
      <c r="O330" s="97">
        <f t="shared" si="61"/>
        <v>-7.883136934848002</v>
      </c>
      <c r="P330" s="97">
        <f t="shared" si="61"/>
        <v>-8.0407996735449618</v>
      </c>
      <c r="Q330" s="97">
        <f t="shared" si="61"/>
        <v>-8.2016156670158615</v>
      </c>
      <c r="R330" s="97">
        <f t="shared" si="61"/>
        <v>-8.3656479803561794</v>
      </c>
      <c r="S330" s="97">
        <f t="shared" si="61"/>
        <v>-8.5329609399633028</v>
      </c>
      <c r="T330" s="97">
        <f t="shared" si="61"/>
        <v>-8.7036201587625683</v>
      </c>
      <c r="U330" s="97">
        <f>INDEX(U325:U329,MATCH($G$25,$D325:$D329,0))</f>
        <v>-8.8776925619378204</v>
      </c>
      <c r="V330" s="84"/>
      <c r="X330" s="141"/>
    </row>
    <row r="331" spans="3:24" ht="5.0999999999999996" customHeight="1" x14ac:dyDescent="0.2">
      <c r="C331" s="91"/>
      <c r="D331" s="92"/>
      <c r="E331" s="92"/>
      <c r="F331" s="92"/>
      <c r="G331" s="92"/>
      <c r="H331" s="92"/>
      <c r="I331" s="92"/>
      <c r="J331" s="92"/>
      <c r="K331" s="92"/>
      <c r="L331" s="92"/>
      <c r="M331" s="92"/>
      <c r="N331" s="92"/>
      <c r="O331" s="92"/>
      <c r="P331" s="92"/>
      <c r="Q331" s="92"/>
      <c r="R331" s="92"/>
      <c r="S331" s="92"/>
      <c r="T331" s="92"/>
      <c r="U331" s="92"/>
      <c r="V331" s="93"/>
      <c r="X331" s="141"/>
    </row>
    <row r="332" spans="3:24" x14ac:dyDescent="0.2">
      <c r="X332" s="141"/>
    </row>
    <row r="333" spans="3:24" ht="5.0999999999999996" customHeight="1" x14ac:dyDescent="0.2">
      <c r="C333" s="78"/>
      <c r="D333" s="79"/>
      <c r="E333" s="79"/>
      <c r="F333" s="79"/>
      <c r="G333" s="79"/>
      <c r="H333" s="79"/>
      <c r="I333" s="79"/>
      <c r="J333" s="79"/>
      <c r="K333" s="79"/>
      <c r="L333" s="79"/>
      <c r="M333" s="79"/>
      <c r="N333" s="79"/>
      <c r="O333" s="79"/>
      <c r="P333" s="79"/>
      <c r="Q333" s="79"/>
      <c r="R333" s="79"/>
      <c r="S333" s="79"/>
      <c r="T333" s="79"/>
      <c r="U333" s="79"/>
      <c r="V333" s="80"/>
      <c r="X333" s="141"/>
    </row>
    <row r="334" spans="3:24" x14ac:dyDescent="0.2">
      <c r="C334" s="81"/>
      <c r="D334" s="82" t="s">
        <v>189</v>
      </c>
      <c r="E334" s="82"/>
      <c r="F334" s="83"/>
      <c r="G334" s="83"/>
      <c r="H334" s="83"/>
      <c r="I334" s="83"/>
      <c r="J334" s="83"/>
      <c r="K334" s="83"/>
      <c r="L334" s="83"/>
      <c r="M334" s="83"/>
      <c r="N334" s="83"/>
      <c r="O334" s="83"/>
      <c r="P334" s="83"/>
      <c r="Q334" s="83"/>
      <c r="R334" s="83"/>
      <c r="S334" s="83"/>
      <c r="T334" s="83"/>
      <c r="U334" s="83"/>
      <c r="V334" s="84"/>
      <c r="X334" s="141"/>
    </row>
    <row r="335" spans="3:24" ht="5.0999999999999996" customHeight="1" x14ac:dyDescent="0.2">
      <c r="C335" s="81"/>
      <c r="D335" s="83"/>
      <c r="E335" s="83"/>
      <c r="F335" s="83"/>
      <c r="G335" s="83"/>
      <c r="H335" s="83"/>
      <c r="I335" s="83"/>
      <c r="J335" s="83"/>
      <c r="K335" s="83"/>
      <c r="L335" s="83"/>
      <c r="M335" s="83"/>
      <c r="N335" s="83"/>
      <c r="O335" s="83"/>
      <c r="P335" s="83"/>
      <c r="Q335" s="83"/>
      <c r="R335" s="83"/>
      <c r="S335" s="83"/>
      <c r="T335" s="83"/>
      <c r="U335" s="83"/>
      <c r="V335" s="84"/>
      <c r="X335" s="141"/>
    </row>
    <row r="336" spans="3:24" x14ac:dyDescent="0.2">
      <c r="C336" s="81"/>
      <c r="D336" s="83" t="s">
        <v>21</v>
      </c>
      <c r="E336" s="83"/>
      <c r="F336" s="85" t="s">
        <v>130</v>
      </c>
      <c r="G336" s="85"/>
      <c r="H336" s="85"/>
      <c r="I336" s="86">
        <v>-5.5E-2</v>
      </c>
      <c r="J336" s="87">
        <f t="shared" ref="J336:S336" si="62">I336</f>
        <v>-5.5E-2</v>
      </c>
      <c r="K336" s="87">
        <f t="shared" si="62"/>
        <v>-5.5E-2</v>
      </c>
      <c r="L336" s="87">
        <f t="shared" si="62"/>
        <v>-5.5E-2</v>
      </c>
      <c r="M336" s="87">
        <f t="shared" si="62"/>
        <v>-5.5E-2</v>
      </c>
      <c r="N336" s="87">
        <f t="shared" si="62"/>
        <v>-5.5E-2</v>
      </c>
      <c r="O336" s="87">
        <f t="shared" si="62"/>
        <v>-5.5E-2</v>
      </c>
      <c r="P336" s="87">
        <f t="shared" si="62"/>
        <v>-5.5E-2</v>
      </c>
      <c r="Q336" s="87">
        <f t="shared" si="62"/>
        <v>-5.5E-2</v>
      </c>
      <c r="R336" s="87">
        <f t="shared" si="62"/>
        <v>-5.5E-2</v>
      </c>
      <c r="S336" s="87">
        <f t="shared" si="62"/>
        <v>-5.5E-2</v>
      </c>
      <c r="T336" s="87">
        <f t="shared" ref="T336:U338" si="63">S336</f>
        <v>-5.5E-2</v>
      </c>
      <c r="U336" s="87">
        <f t="shared" si="63"/>
        <v>-5.5E-2</v>
      </c>
      <c r="V336" s="84"/>
      <c r="X336" s="141"/>
    </row>
    <row r="337" spans="3:24" x14ac:dyDescent="0.2">
      <c r="C337" s="81"/>
      <c r="D337" s="83" t="s">
        <v>22</v>
      </c>
      <c r="E337" s="83"/>
      <c r="F337" s="85" t="s">
        <v>130</v>
      </c>
      <c r="G337" s="85"/>
      <c r="H337" s="85"/>
      <c r="I337" s="86">
        <v>-5.5E-2</v>
      </c>
      <c r="J337" s="87">
        <f t="shared" ref="J337:S337" si="64">I337</f>
        <v>-5.5E-2</v>
      </c>
      <c r="K337" s="87">
        <f t="shared" si="64"/>
        <v>-5.5E-2</v>
      </c>
      <c r="L337" s="87">
        <f t="shared" si="64"/>
        <v>-5.5E-2</v>
      </c>
      <c r="M337" s="87">
        <f t="shared" si="64"/>
        <v>-5.5E-2</v>
      </c>
      <c r="N337" s="87">
        <f t="shared" si="64"/>
        <v>-5.5E-2</v>
      </c>
      <c r="O337" s="87">
        <f t="shared" si="64"/>
        <v>-5.5E-2</v>
      </c>
      <c r="P337" s="87">
        <f t="shared" si="64"/>
        <v>-5.5E-2</v>
      </c>
      <c r="Q337" s="87">
        <f t="shared" si="64"/>
        <v>-5.5E-2</v>
      </c>
      <c r="R337" s="87">
        <f t="shared" si="64"/>
        <v>-5.5E-2</v>
      </c>
      <c r="S337" s="87">
        <f t="shared" si="64"/>
        <v>-5.5E-2</v>
      </c>
      <c r="T337" s="87">
        <f t="shared" si="63"/>
        <v>-5.5E-2</v>
      </c>
      <c r="U337" s="87">
        <f t="shared" si="63"/>
        <v>-5.5E-2</v>
      </c>
      <c r="V337" s="84"/>
      <c r="X337" s="141"/>
    </row>
    <row r="338" spans="3:24" x14ac:dyDescent="0.2">
      <c r="C338" s="81"/>
      <c r="D338" s="83" t="s">
        <v>23</v>
      </c>
      <c r="E338" s="83"/>
      <c r="F338" s="85" t="s">
        <v>130</v>
      </c>
      <c r="G338" s="85"/>
      <c r="H338" s="85"/>
      <c r="I338" s="86">
        <v>-5.5E-2</v>
      </c>
      <c r="J338" s="87">
        <f t="shared" ref="J338:S338" si="65">I338</f>
        <v>-5.5E-2</v>
      </c>
      <c r="K338" s="87">
        <f t="shared" si="65"/>
        <v>-5.5E-2</v>
      </c>
      <c r="L338" s="87">
        <f t="shared" si="65"/>
        <v>-5.5E-2</v>
      </c>
      <c r="M338" s="87">
        <f t="shared" si="65"/>
        <v>-5.5E-2</v>
      </c>
      <c r="N338" s="87">
        <f t="shared" si="65"/>
        <v>-5.5E-2</v>
      </c>
      <c r="O338" s="87">
        <f t="shared" si="65"/>
        <v>-5.5E-2</v>
      </c>
      <c r="P338" s="87">
        <f t="shared" si="65"/>
        <v>-5.5E-2</v>
      </c>
      <c r="Q338" s="87">
        <f t="shared" si="65"/>
        <v>-5.5E-2</v>
      </c>
      <c r="R338" s="87">
        <f t="shared" si="65"/>
        <v>-5.5E-2</v>
      </c>
      <c r="S338" s="87">
        <f t="shared" si="65"/>
        <v>-5.5E-2</v>
      </c>
      <c r="T338" s="87">
        <f t="shared" si="63"/>
        <v>-5.5E-2</v>
      </c>
      <c r="U338" s="87">
        <f t="shared" si="63"/>
        <v>-5.5E-2</v>
      </c>
      <c r="V338" s="84"/>
      <c r="X338" s="141"/>
    </row>
    <row r="339" spans="3:24" ht="5.0999999999999996" customHeight="1" x14ac:dyDescent="0.2">
      <c r="C339" s="81"/>
      <c r="D339" s="83"/>
      <c r="E339" s="83"/>
      <c r="F339" s="83"/>
      <c r="G339" s="83"/>
      <c r="H339" s="83"/>
      <c r="I339" s="83"/>
      <c r="J339" s="83"/>
      <c r="K339" s="83"/>
      <c r="L339" s="83"/>
      <c r="M339" s="83"/>
      <c r="N339" s="83"/>
      <c r="O339" s="83"/>
      <c r="P339" s="83"/>
      <c r="Q339" s="83"/>
      <c r="R339" s="83"/>
      <c r="S339" s="83"/>
      <c r="T339" s="83"/>
      <c r="U339" s="83"/>
      <c r="V339" s="84"/>
      <c r="X339" s="141"/>
    </row>
    <row r="340" spans="3:24" x14ac:dyDescent="0.2">
      <c r="C340" s="81"/>
      <c r="D340" s="88" t="s">
        <v>24</v>
      </c>
      <c r="E340" s="88"/>
      <c r="F340" s="88"/>
      <c r="G340" s="88"/>
      <c r="H340" s="88"/>
      <c r="I340" s="90">
        <f t="shared" ref="I340:U340" si="66">INDEX(I335:I339,MATCH($G$25,$D335:$D339,0))</f>
        <v>-5.5E-2</v>
      </c>
      <c r="J340" s="90">
        <f t="shared" si="66"/>
        <v>-5.5E-2</v>
      </c>
      <c r="K340" s="90">
        <f t="shared" si="66"/>
        <v>-5.5E-2</v>
      </c>
      <c r="L340" s="90">
        <f t="shared" si="66"/>
        <v>-5.5E-2</v>
      </c>
      <c r="M340" s="90">
        <f t="shared" si="66"/>
        <v>-5.5E-2</v>
      </c>
      <c r="N340" s="90">
        <f t="shared" si="66"/>
        <v>-5.5E-2</v>
      </c>
      <c r="O340" s="90">
        <f t="shared" si="66"/>
        <v>-5.5E-2</v>
      </c>
      <c r="P340" s="90">
        <f t="shared" si="66"/>
        <v>-5.5E-2</v>
      </c>
      <c r="Q340" s="90">
        <f t="shared" si="66"/>
        <v>-5.5E-2</v>
      </c>
      <c r="R340" s="90">
        <f t="shared" si="66"/>
        <v>-5.5E-2</v>
      </c>
      <c r="S340" s="90">
        <f t="shared" si="66"/>
        <v>-5.5E-2</v>
      </c>
      <c r="T340" s="90">
        <f t="shared" si="66"/>
        <v>-5.5E-2</v>
      </c>
      <c r="U340" s="90">
        <f t="shared" si="66"/>
        <v>-5.5E-2</v>
      </c>
      <c r="V340" s="84"/>
      <c r="X340" s="141"/>
    </row>
    <row r="341" spans="3:24" ht="5.0999999999999996" customHeight="1" x14ac:dyDescent="0.2">
      <c r="C341" s="91"/>
      <c r="D341" s="92"/>
      <c r="E341" s="92"/>
      <c r="F341" s="92"/>
      <c r="G341" s="92"/>
      <c r="H341" s="92"/>
      <c r="I341" s="92"/>
      <c r="J341" s="92"/>
      <c r="K341" s="92"/>
      <c r="L341" s="92"/>
      <c r="M341" s="92"/>
      <c r="N341" s="92"/>
      <c r="O341" s="92"/>
      <c r="P341" s="92"/>
      <c r="Q341" s="92"/>
      <c r="R341" s="92"/>
      <c r="S341" s="92"/>
      <c r="T341" s="92"/>
      <c r="U341" s="92"/>
      <c r="V341" s="93"/>
      <c r="X341" s="141"/>
    </row>
    <row r="342" spans="3:24" x14ac:dyDescent="0.2">
      <c r="X342" s="141"/>
    </row>
    <row r="343" spans="3:24" ht="5.0999999999999996" customHeight="1" x14ac:dyDescent="0.2">
      <c r="C343" s="78"/>
      <c r="D343" s="79"/>
      <c r="E343" s="79"/>
      <c r="F343" s="79"/>
      <c r="G343" s="79"/>
      <c r="H343" s="79"/>
      <c r="I343" s="79"/>
      <c r="J343" s="79"/>
      <c r="K343" s="79"/>
      <c r="L343" s="79"/>
      <c r="M343" s="79"/>
      <c r="N343" s="79"/>
      <c r="O343" s="79"/>
      <c r="P343" s="79"/>
      <c r="Q343" s="79"/>
      <c r="R343" s="79"/>
      <c r="S343" s="79"/>
      <c r="T343" s="79"/>
      <c r="U343" s="79"/>
      <c r="V343" s="80"/>
      <c r="X343" s="141"/>
    </row>
    <row r="344" spans="3:24" x14ac:dyDescent="0.2">
      <c r="C344" s="81"/>
      <c r="D344" s="82" t="s">
        <v>118</v>
      </c>
      <c r="E344" s="82"/>
      <c r="F344" s="83"/>
      <c r="G344" s="83"/>
      <c r="H344" s="83"/>
      <c r="I344" s="83"/>
      <c r="J344" s="83"/>
      <c r="K344" s="83"/>
      <c r="L344" s="83"/>
      <c r="M344" s="83"/>
      <c r="N344" s="83"/>
      <c r="O344" s="83"/>
      <c r="P344" s="83"/>
      <c r="Q344" s="83"/>
      <c r="R344" s="83"/>
      <c r="S344" s="83"/>
      <c r="T344" s="83"/>
      <c r="U344" s="83"/>
      <c r="V344" s="84"/>
      <c r="X344" s="141"/>
    </row>
    <row r="345" spans="3:24" ht="5.0999999999999996" customHeight="1" x14ac:dyDescent="0.2">
      <c r="C345" s="81"/>
      <c r="D345" s="83"/>
      <c r="E345" s="83"/>
      <c r="F345" s="83"/>
      <c r="G345" s="83"/>
      <c r="H345" s="83"/>
      <c r="I345" s="83"/>
      <c r="J345" s="83"/>
      <c r="K345" s="83"/>
      <c r="L345" s="83"/>
      <c r="M345" s="83"/>
      <c r="N345" s="83"/>
      <c r="O345" s="83"/>
      <c r="P345" s="83"/>
      <c r="Q345" s="83"/>
      <c r="R345" s="83"/>
      <c r="S345" s="83"/>
      <c r="T345" s="83"/>
      <c r="U345" s="83"/>
      <c r="V345" s="84"/>
      <c r="X345" s="141"/>
    </row>
    <row r="346" spans="3:24" x14ac:dyDescent="0.2">
      <c r="C346" s="81"/>
      <c r="D346" s="83" t="s">
        <v>21</v>
      </c>
      <c r="E346" s="83"/>
      <c r="F346" s="85" t="s">
        <v>130</v>
      </c>
      <c r="G346" s="85"/>
      <c r="H346" s="85"/>
      <c r="I346" s="86">
        <v>-3.2500000000000001E-2</v>
      </c>
      <c r="J346" s="87">
        <f t="shared" ref="J346:Q348" si="67">I346</f>
        <v>-3.2500000000000001E-2</v>
      </c>
      <c r="K346" s="87">
        <f t="shared" si="67"/>
        <v>-3.2500000000000001E-2</v>
      </c>
      <c r="L346" s="87">
        <f t="shared" si="67"/>
        <v>-3.2500000000000001E-2</v>
      </c>
      <c r="M346" s="87">
        <f t="shared" si="67"/>
        <v>-3.2500000000000001E-2</v>
      </c>
      <c r="N346" s="87">
        <f t="shared" si="67"/>
        <v>-3.2500000000000001E-2</v>
      </c>
      <c r="O346" s="87">
        <f t="shared" si="67"/>
        <v>-3.2500000000000001E-2</v>
      </c>
      <c r="P346" s="87">
        <f t="shared" si="67"/>
        <v>-3.2500000000000001E-2</v>
      </c>
      <c r="Q346" s="87">
        <f t="shared" si="67"/>
        <v>-3.2500000000000001E-2</v>
      </c>
      <c r="R346" s="87">
        <f t="shared" ref="R346:U348" si="68">Q346</f>
        <v>-3.2500000000000001E-2</v>
      </c>
      <c r="S346" s="87">
        <f t="shared" si="68"/>
        <v>-3.2500000000000001E-2</v>
      </c>
      <c r="T346" s="87">
        <f t="shared" si="68"/>
        <v>-3.2500000000000001E-2</v>
      </c>
      <c r="U346" s="87">
        <f t="shared" si="68"/>
        <v>-3.2500000000000001E-2</v>
      </c>
      <c r="V346" s="84"/>
      <c r="X346" s="141"/>
    </row>
    <row r="347" spans="3:24" x14ac:dyDescent="0.2">
      <c r="C347" s="81"/>
      <c r="D347" s="83" t="s">
        <v>22</v>
      </c>
      <c r="E347" s="83"/>
      <c r="F347" s="85" t="s">
        <v>130</v>
      </c>
      <c r="G347" s="85"/>
      <c r="H347" s="85"/>
      <c r="I347" s="86">
        <v>-3.2500000000000001E-2</v>
      </c>
      <c r="J347" s="87">
        <f t="shared" si="67"/>
        <v>-3.2500000000000001E-2</v>
      </c>
      <c r="K347" s="87">
        <f t="shared" si="67"/>
        <v>-3.2500000000000001E-2</v>
      </c>
      <c r="L347" s="87">
        <f t="shared" si="67"/>
        <v>-3.2500000000000001E-2</v>
      </c>
      <c r="M347" s="87">
        <f t="shared" si="67"/>
        <v>-3.2500000000000001E-2</v>
      </c>
      <c r="N347" s="87">
        <f t="shared" si="67"/>
        <v>-3.2500000000000001E-2</v>
      </c>
      <c r="O347" s="87">
        <f t="shared" si="67"/>
        <v>-3.2500000000000001E-2</v>
      </c>
      <c r="P347" s="87">
        <f t="shared" si="67"/>
        <v>-3.2500000000000001E-2</v>
      </c>
      <c r="Q347" s="87">
        <f t="shared" si="67"/>
        <v>-3.2500000000000001E-2</v>
      </c>
      <c r="R347" s="87">
        <f t="shared" si="68"/>
        <v>-3.2500000000000001E-2</v>
      </c>
      <c r="S347" s="87">
        <f t="shared" si="68"/>
        <v>-3.2500000000000001E-2</v>
      </c>
      <c r="T347" s="87">
        <f t="shared" si="68"/>
        <v>-3.2500000000000001E-2</v>
      </c>
      <c r="U347" s="87">
        <f t="shared" si="68"/>
        <v>-3.2500000000000001E-2</v>
      </c>
      <c r="V347" s="84"/>
      <c r="X347" s="141"/>
    </row>
    <row r="348" spans="3:24" x14ac:dyDescent="0.2">
      <c r="C348" s="81"/>
      <c r="D348" s="83" t="s">
        <v>23</v>
      </c>
      <c r="E348" s="83"/>
      <c r="F348" s="85" t="s">
        <v>130</v>
      </c>
      <c r="G348" s="85"/>
      <c r="H348" s="85"/>
      <c r="I348" s="86">
        <v>-3.2500000000000001E-2</v>
      </c>
      <c r="J348" s="87">
        <f t="shared" si="67"/>
        <v>-3.2500000000000001E-2</v>
      </c>
      <c r="K348" s="87">
        <f t="shared" si="67"/>
        <v>-3.2500000000000001E-2</v>
      </c>
      <c r="L348" s="87">
        <f t="shared" si="67"/>
        <v>-3.2500000000000001E-2</v>
      </c>
      <c r="M348" s="87">
        <f t="shared" si="67"/>
        <v>-3.2500000000000001E-2</v>
      </c>
      <c r="N348" s="87">
        <f t="shared" si="67"/>
        <v>-3.2500000000000001E-2</v>
      </c>
      <c r="O348" s="87">
        <f t="shared" si="67"/>
        <v>-3.2500000000000001E-2</v>
      </c>
      <c r="P348" s="87">
        <f t="shared" si="67"/>
        <v>-3.2500000000000001E-2</v>
      </c>
      <c r="Q348" s="87">
        <f t="shared" si="67"/>
        <v>-3.2500000000000001E-2</v>
      </c>
      <c r="R348" s="87">
        <f t="shared" si="68"/>
        <v>-3.2500000000000001E-2</v>
      </c>
      <c r="S348" s="87">
        <f t="shared" si="68"/>
        <v>-3.2500000000000001E-2</v>
      </c>
      <c r="T348" s="87">
        <f t="shared" si="68"/>
        <v>-3.2500000000000001E-2</v>
      </c>
      <c r="U348" s="87">
        <f t="shared" si="68"/>
        <v>-3.2500000000000001E-2</v>
      </c>
      <c r="V348" s="84"/>
      <c r="X348" s="141"/>
    </row>
    <row r="349" spans="3:24" ht="5.0999999999999996" customHeight="1" x14ac:dyDescent="0.2">
      <c r="C349" s="81"/>
      <c r="D349" s="83"/>
      <c r="E349" s="83"/>
      <c r="F349" s="83"/>
      <c r="G349" s="83"/>
      <c r="H349" s="83"/>
      <c r="I349" s="83"/>
      <c r="J349" s="83"/>
      <c r="K349" s="83"/>
      <c r="L349" s="83"/>
      <c r="M349" s="83"/>
      <c r="N349" s="83"/>
      <c r="O349" s="83"/>
      <c r="P349" s="83"/>
      <c r="Q349" s="83"/>
      <c r="R349" s="83"/>
      <c r="S349" s="83"/>
      <c r="T349" s="83"/>
      <c r="U349" s="83"/>
      <c r="V349" s="84"/>
      <c r="X349" s="141"/>
    </row>
    <row r="350" spans="3:24" x14ac:dyDescent="0.2">
      <c r="C350" s="81"/>
      <c r="D350" s="88" t="s">
        <v>24</v>
      </c>
      <c r="E350" s="88"/>
      <c r="F350" s="88"/>
      <c r="G350" s="88"/>
      <c r="H350" s="88"/>
      <c r="I350" s="90">
        <f t="shared" ref="I350:U350" si="69">INDEX(I345:I349,MATCH($G$25,$D345:$D349,0))</f>
        <v>-3.2500000000000001E-2</v>
      </c>
      <c r="J350" s="90">
        <f t="shared" si="69"/>
        <v>-3.2500000000000001E-2</v>
      </c>
      <c r="K350" s="90">
        <f t="shared" si="69"/>
        <v>-3.2500000000000001E-2</v>
      </c>
      <c r="L350" s="90">
        <f t="shared" si="69"/>
        <v>-3.2500000000000001E-2</v>
      </c>
      <c r="M350" s="90">
        <f t="shared" si="69"/>
        <v>-3.2500000000000001E-2</v>
      </c>
      <c r="N350" s="90">
        <f t="shared" si="69"/>
        <v>-3.2500000000000001E-2</v>
      </c>
      <c r="O350" s="90">
        <f t="shared" si="69"/>
        <v>-3.2500000000000001E-2</v>
      </c>
      <c r="P350" s="90">
        <f t="shared" si="69"/>
        <v>-3.2500000000000001E-2</v>
      </c>
      <c r="Q350" s="90">
        <f t="shared" si="69"/>
        <v>-3.2500000000000001E-2</v>
      </c>
      <c r="R350" s="90">
        <f t="shared" si="69"/>
        <v>-3.2500000000000001E-2</v>
      </c>
      <c r="S350" s="90">
        <f t="shared" si="69"/>
        <v>-3.2500000000000001E-2</v>
      </c>
      <c r="T350" s="90">
        <f t="shared" si="69"/>
        <v>-3.2500000000000001E-2</v>
      </c>
      <c r="U350" s="90">
        <f t="shared" si="69"/>
        <v>-3.2500000000000001E-2</v>
      </c>
      <c r="V350" s="84"/>
      <c r="X350" s="141"/>
    </row>
    <row r="351" spans="3:24" ht="5.0999999999999996" customHeight="1" x14ac:dyDescent="0.2">
      <c r="C351" s="91"/>
      <c r="D351" s="92"/>
      <c r="E351" s="92"/>
      <c r="F351" s="92"/>
      <c r="G351" s="92"/>
      <c r="H351" s="92"/>
      <c r="I351" s="92"/>
      <c r="J351" s="92"/>
      <c r="K351" s="92"/>
      <c r="L351" s="92"/>
      <c r="M351" s="92"/>
      <c r="N351" s="92"/>
      <c r="O351" s="92"/>
      <c r="P351" s="92"/>
      <c r="Q351" s="92"/>
      <c r="R351" s="92"/>
      <c r="S351" s="92"/>
      <c r="T351" s="92"/>
      <c r="U351" s="92"/>
      <c r="V351" s="93"/>
      <c r="X351" s="141"/>
    </row>
    <row r="352" spans="3:24" x14ac:dyDescent="0.2">
      <c r="X352" s="141"/>
    </row>
    <row r="353" spans="3:24" ht="5.0999999999999996" customHeight="1" x14ac:dyDescent="0.2">
      <c r="C353" s="78"/>
      <c r="D353" s="79"/>
      <c r="E353" s="79"/>
      <c r="F353" s="79"/>
      <c r="G353" s="79"/>
      <c r="H353" s="79"/>
      <c r="I353" s="79"/>
      <c r="J353" s="79"/>
      <c r="K353" s="79"/>
      <c r="L353" s="79"/>
      <c r="M353" s="79"/>
      <c r="N353" s="79"/>
      <c r="O353" s="79"/>
      <c r="P353" s="79"/>
      <c r="Q353" s="79"/>
      <c r="R353" s="79"/>
      <c r="S353" s="79"/>
      <c r="T353" s="79"/>
      <c r="U353" s="79"/>
      <c r="V353" s="80"/>
      <c r="X353" s="141"/>
    </row>
    <row r="354" spans="3:24" x14ac:dyDescent="0.2">
      <c r="C354" s="81"/>
      <c r="D354" s="82" t="s">
        <v>191</v>
      </c>
      <c r="E354" s="82"/>
      <c r="F354" s="83"/>
      <c r="G354" s="83"/>
      <c r="H354" s="83"/>
      <c r="I354" s="83"/>
      <c r="J354" s="83"/>
      <c r="K354" s="83"/>
      <c r="L354" s="83"/>
      <c r="M354" s="83"/>
      <c r="N354" s="83"/>
      <c r="O354" s="83"/>
      <c r="P354" s="83"/>
      <c r="Q354" s="83"/>
      <c r="R354" s="83"/>
      <c r="S354" s="83"/>
      <c r="T354" s="83"/>
      <c r="U354" s="83"/>
      <c r="V354" s="84"/>
      <c r="X354" s="141"/>
    </row>
    <row r="355" spans="3:24" ht="5.0999999999999996" customHeight="1" x14ac:dyDescent="0.2">
      <c r="C355" s="81"/>
      <c r="D355" s="83"/>
      <c r="E355" s="83"/>
      <c r="F355" s="83"/>
      <c r="G355" s="83"/>
      <c r="H355" s="83"/>
      <c r="I355" s="83"/>
      <c r="J355" s="83"/>
      <c r="K355" s="83"/>
      <c r="L355" s="83"/>
      <c r="M355" s="83"/>
      <c r="N355" s="83"/>
      <c r="O355" s="83"/>
      <c r="P355" s="83"/>
      <c r="Q355" s="83"/>
      <c r="R355" s="83"/>
      <c r="S355" s="83"/>
      <c r="T355" s="83"/>
      <c r="U355" s="83"/>
      <c r="V355" s="84"/>
      <c r="X355" s="141"/>
    </row>
    <row r="356" spans="3:24" x14ac:dyDescent="0.2">
      <c r="C356" s="81"/>
      <c r="D356" s="83" t="s">
        <v>21</v>
      </c>
      <c r="E356" s="83"/>
      <c r="F356" s="85" t="s">
        <v>130</v>
      </c>
      <c r="G356" s="85"/>
      <c r="H356" s="85"/>
      <c r="I356" s="86">
        <v>-0.03</v>
      </c>
      <c r="J356" s="87">
        <f t="shared" ref="J356:S356" si="70">I356</f>
        <v>-0.03</v>
      </c>
      <c r="K356" s="87">
        <f t="shared" si="70"/>
        <v>-0.03</v>
      </c>
      <c r="L356" s="87">
        <f t="shared" si="70"/>
        <v>-0.03</v>
      </c>
      <c r="M356" s="87">
        <f t="shared" si="70"/>
        <v>-0.03</v>
      </c>
      <c r="N356" s="87">
        <f t="shared" si="70"/>
        <v>-0.03</v>
      </c>
      <c r="O356" s="87">
        <f t="shared" si="70"/>
        <v>-0.03</v>
      </c>
      <c r="P356" s="87">
        <f t="shared" si="70"/>
        <v>-0.03</v>
      </c>
      <c r="Q356" s="87">
        <f t="shared" si="70"/>
        <v>-0.03</v>
      </c>
      <c r="R356" s="87">
        <f t="shared" si="70"/>
        <v>-0.03</v>
      </c>
      <c r="S356" s="87">
        <f t="shared" si="70"/>
        <v>-0.03</v>
      </c>
      <c r="T356" s="87">
        <f t="shared" ref="T356:U358" si="71">S356</f>
        <v>-0.03</v>
      </c>
      <c r="U356" s="87">
        <f t="shared" si="71"/>
        <v>-0.03</v>
      </c>
      <c r="V356" s="84"/>
      <c r="X356" s="141"/>
    </row>
    <row r="357" spans="3:24" x14ac:dyDescent="0.2">
      <c r="C357" s="81"/>
      <c r="D357" s="83" t="s">
        <v>22</v>
      </c>
      <c r="E357" s="83"/>
      <c r="F357" s="85" t="s">
        <v>130</v>
      </c>
      <c r="G357" s="85"/>
      <c r="H357" s="85"/>
      <c r="I357" s="86">
        <v>-0.03</v>
      </c>
      <c r="J357" s="87">
        <f t="shared" ref="J357:S357" si="72">I357</f>
        <v>-0.03</v>
      </c>
      <c r="K357" s="87">
        <f t="shared" si="72"/>
        <v>-0.03</v>
      </c>
      <c r="L357" s="87">
        <f t="shared" si="72"/>
        <v>-0.03</v>
      </c>
      <c r="M357" s="87">
        <f t="shared" si="72"/>
        <v>-0.03</v>
      </c>
      <c r="N357" s="87">
        <f t="shared" si="72"/>
        <v>-0.03</v>
      </c>
      <c r="O357" s="87">
        <f t="shared" si="72"/>
        <v>-0.03</v>
      </c>
      <c r="P357" s="87">
        <f t="shared" si="72"/>
        <v>-0.03</v>
      </c>
      <c r="Q357" s="87">
        <f t="shared" si="72"/>
        <v>-0.03</v>
      </c>
      <c r="R357" s="87">
        <f t="shared" si="72"/>
        <v>-0.03</v>
      </c>
      <c r="S357" s="87">
        <f t="shared" si="72"/>
        <v>-0.03</v>
      </c>
      <c r="T357" s="87">
        <f t="shared" si="71"/>
        <v>-0.03</v>
      </c>
      <c r="U357" s="87">
        <f t="shared" si="71"/>
        <v>-0.03</v>
      </c>
      <c r="V357" s="84"/>
      <c r="X357" s="141"/>
    </row>
    <row r="358" spans="3:24" x14ac:dyDescent="0.2">
      <c r="C358" s="81"/>
      <c r="D358" s="83" t="s">
        <v>23</v>
      </c>
      <c r="E358" s="83"/>
      <c r="F358" s="85" t="s">
        <v>130</v>
      </c>
      <c r="G358" s="85"/>
      <c r="H358" s="85"/>
      <c r="I358" s="86">
        <v>-0.03</v>
      </c>
      <c r="J358" s="87">
        <f t="shared" ref="J358:S358" si="73">I358</f>
        <v>-0.03</v>
      </c>
      <c r="K358" s="87">
        <f t="shared" si="73"/>
        <v>-0.03</v>
      </c>
      <c r="L358" s="87">
        <f t="shared" si="73"/>
        <v>-0.03</v>
      </c>
      <c r="M358" s="87">
        <f t="shared" si="73"/>
        <v>-0.03</v>
      </c>
      <c r="N358" s="87">
        <f t="shared" si="73"/>
        <v>-0.03</v>
      </c>
      <c r="O358" s="87">
        <f t="shared" si="73"/>
        <v>-0.03</v>
      </c>
      <c r="P358" s="87">
        <f t="shared" si="73"/>
        <v>-0.03</v>
      </c>
      <c r="Q358" s="87">
        <f t="shared" si="73"/>
        <v>-0.03</v>
      </c>
      <c r="R358" s="87">
        <f t="shared" si="73"/>
        <v>-0.03</v>
      </c>
      <c r="S358" s="87">
        <f t="shared" si="73"/>
        <v>-0.03</v>
      </c>
      <c r="T358" s="87">
        <f t="shared" si="71"/>
        <v>-0.03</v>
      </c>
      <c r="U358" s="87">
        <f t="shared" si="71"/>
        <v>-0.03</v>
      </c>
      <c r="V358" s="84"/>
      <c r="X358" s="141"/>
    </row>
    <row r="359" spans="3:24" ht="5.0999999999999996" customHeight="1" x14ac:dyDescent="0.2">
      <c r="C359" s="81"/>
      <c r="D359" s="83"/>
      <c r="E359" s="83"/>
      <c r="F359" s="83"/>
      <c r="G359" s="83"/>
      <c r="H359" s="83"/>
      <c r="I359" s="83"/>
      <c r="J359" s="83"/>
      <c r="K359" s="83"/>
      <c r="L359" s="83"/>
      <c r="M359" s="83"/>
      <c r="N359" s="83"/>
      <c r="O359" s="83"/>
      <c r="P359" s="83"/>
      <c r="Q359" s="83"/>
      <c r="R359" s="83"/>
      <c r="S359" s="83"/>
      <c r="T359" s="83"/>
      <c r="U359" s="83"/>
      <c r="V359" s="84"/>
      <c r="X359" s="141"/>
    </row>
    <row r="360" spans="3:24" x14ac:dyDescent="0.2">
      <c r="C360" s="81"/>
      <c r="D360" s="88" t="s">
        <v>24</v>
      </c>
      <c r="E360" s="88"/>
      <c r="F360" s="88"/>
      <c r="G360" s="88"/>
      <c r="H360" s="88"/>
      <c r="I360" s="90">
        <f t="shared" ref="I360:U360" si="74">INDEX(I355:I359,MATCH($G$25,$D355:$D359,0))</f>
        <v>-0.03</v>
      </c>
      <c r="J360" s="90">
        <f t="shared" si="74"/>
        <v>-0.03</v>
      </c>
      <c r="K360" s="90">
        <f t="shared" si="74"/>
        <v>-0.03</v>
      </c>
      <c r="L360" s="90">
        <f t="shared" si="74"/>
        <v>-0.03</v>
      </c>
      <c r="M360" s="90">
        <f t="shared" si="74"/>
        <v>-0.03</v>
      </c>
      <c r="N360" s="90">
        <f t="shared" si="74"/>
        <v>-0.03</v>
      </c>
      <c r="O360" s="90">
        <f t="shared" si="74"/>
        <v>-0.03</v>
      </c>
      <c r="P360" s="90">
        <f t="shared" si="74"/>
        <v>-0.03</v>
      </c>
      <c r="Q360" s="90">
        <f t="shared" si="74"/>
        <v>-0.03</v>
      </c>
      <c r="R360" s="90">
        <f t="shared" si="74"/>
        <v>-0.03</v>
      </c>
      <c r="S360" s="90">
        <f t="shared" si="74"/>
        <v>-0.03</v>
      </c>
      <c r="T360" s="90">
        <f t="shared" si="74"/>
        <v>-0.03</v>
      </c>
      <c r="U360" s="90">
        <f t="shared" si="74"/>
        <v>-0.03</v>
      </c>
      <c r="V360" s="84"/>
      <c r="X360" s="141"/>
    </row>
    <row r="361" spans="3:24" ht="5.0999999999999996" customHeight="1" x14ac:dyDescent="0.2">
      <c r="C361" s="91"/>
      <c r="D361" s="92"/>
      <c r="E361" s="92"/>
      <c r="F361" s="92"/>
      <c r="G361" s="92"/>
      <c r="H361" s="92"/>
      <c r="I361" s="92"/>
      <c r="J361" s="92"/>
      <c r="K361" s="92"/>
      <c r="L361" s="92"/>
      <c r="M361" s="92"/>
      <c r="N361" s="92"/>
      <c r="O361" s="92"/>
      <c r="P361" s="92"/>
      <c r="Q361" s="92"/>
      <c r="R361" s="92"/>
      <c r="S361" s="92"/>
      <c r="T361" s="92"/>
      <c r="U361" s="92"/>
      <c r="V361" s="93"/>
      <c r="X361" s="141"/>
    </row>
    <row r="362" spans="3:24" x14ac:dyDescent="0.2">
      <c r="X362" s="141"/>
    </row>
    <row r="363" spans="3:24" ht="5.0999999999999996" customHeight="1" x14ac:dyDescent="0.2">
      <c r="C363" s="78"/>
      <c r="D363" s="79"/>
      <c r="E363" s="79"/>
      <c r="F363" s="79"/>
      <c r="G363" s="79"/>
      <c r="H363" s="79"/>
      <c r="I363" s="79"/>
      <c r="J363" s="79"/>
      <c r="K363" s="79"/>
      <c r="L363" s="79"/>
      <c r="M363" s="79"/>
      <c r="N363" s="79"/>
      <c r="O363" s="79"/>
      <c r="P363" s="79"/>
      <c r="Q363" s="79"/>
      <c r="R363" s="79"/>
      <c r="S363" s="79"/>
      <c r="T363" s="79"/>
      <c r="U363" s="79"/>
      <c r="V363" s="80"/>
      <c r="X363" s="141"/>
    </row>
    <row r="364" spans="3:24" x14ac:dyDescent="0.2">
      <c r="C364" s="81"/>
      <c r="D364" s="82" t="s">
        <v>121</v>
      </c>
      <c r="E364" s="82"/>
      <c r="F364" s="83"/>
      <c r="G364" s="83"/>
      <c r="H364" s="83"/>
      <c r="I364" s="83"/>
      <c r="J364" s="83"/>
      <c r="K364" s="83"/>
      <c r="L364" s="83"/>
      <c r="M364" s="83"/>
      <c r="N364" s="83"/>
      <c r="O364" s="83"/>
      <c r="P364" s="83"/>
      <c r="Q364" s="83"/>
      <c r="R364" s="83"/>
      <c r="S364" s="83"/>
      <c r="T364" s="83"/>
      <c r="U364" s="83"/>
      <c r="V364" s="84"/>
      <c r="X364" s="141"/>
    </row>
    <row r="365" spans="3:24" ht="5.0999999999999996" customHeight="1" x14ac:dyDescent="0.2">
      <c r="C365" s="81"/>
      <c r="D365" s="83"/>
      <c r="E365" s="83"/>
      <c r="F365" s="83"/>
      <c r="G365" s="83"/>
      <c r="H365" s="83"/>
      <c r="I365" s="83"/>
      <c r="J365" s="83"/>
      <c r="K365" s="83"/>
      <c r="L365" s="83"/>
      <c r="M365" s="83"/>
      <c r="N365" s="83"/>
      <c r="O365" s="83"/>
      <c r="P365" s="83"/>
      <c r="Q365" s="83"/>
      <c r="R365" s="83"/>
      <c r="S365" s="83"/>
      <c r="T365" s="83"/>
      <c r="U365" s="83"/>
      <c r="V365" s="84"/>
      <c r="X365" s="141"/>
    </row>
    <row r="366" spans="3:24" x14ac:dyDescent="0.2">
      <c r="C366" s="81"/>
      <c r="D366" s="83" t="s">
        <v>21</v>
      </c>
      <c r="E366" s="83"/>
      <c r="F366" s="85" t="s">
        <v>44</v>
      </c>
      <c r="G366" s="85"/>
      <c r="H366" s="85"/>
      <c r="I366" s="94">
        <v>-1500</v>
      </c>
      <c r="J366" s="95">
        <f t="shared" ref="J366:U366" si="75">I366*(1+J396)</f>
        <v>-1530</v>
      </c>
      <c r="K366" s="95">
        <f t="shared" si="75"/>
        <v>-1560.6000000000001</v>
      </c>
      <c r="L366" s="95">
        <f t="shared" si="75"/>
        <v>-1591.8120000000001</v>
      </c>
      <c r="M366" s="95">
        <f t="shared" si="75"/>
        <v>-1623.6482400000002</v>
      </c>
      <c r="N366" s="95">
        <f t="shared" si="75"/>
        <v>-1656.1212048000002</v>
      </c>
      <c r="O366" s="95">
        <f t="shared" si="75"/>
        <v>-1689.2436288960002</v>
      </c>
      <c r="P366" s="95">
        <f t="shared" si="75"/>
        <v>-1723.0285014739202</v>
      </c>
      <c r="Q366" s="95">
        <f t="shared" si="75"/>
        <v>-1757.4890715033987</v>
      </c>
      <c r="R366" s="95">
        <f t="shared" si="75"/>
        <v>-1792.6388529334668</v>
      </c>
      <c r="S366" s="95">
        <f t="shared" si="75"/>
        <v>-1828.491629992136</v>
      </c>
      <c r="T366" s="95">
        <f t="shared" si="75"/>
        <v>-1865.0614625919789</v>
      </c>
      <c r="U366" s="95">
        <f t="shared" si="75"/>
        <v>-1902.3626918438185</v>
      </c>
      <c r="V366" s="84"/>
      <c r="X366" s="141"/>
    </row>
    <row r="367" spans="3:24" x14ac:dyDescent="0.2">
      <c r="C367" s="81"/>
      <c r="D367" s="83" t="s">
        <v>22</v>
      </c>
      <c r="E367" s="83"/>
      <c r="F367" s="85" t="s">
        <v>44</v>
      </c>
      <c r="G367" s="85"/>
      <c r="H367" s="85"/>
      <c r="I367" s="94">
        <v>-1450</v>
      </c>
      <c r="J367" s="95">
        <f t="shared" ref="J367:U367" si="76">I367*(1+J397)</f>
        <v>-1479</v>
      </c>
      <c r="K367" s="95">
        <f t="shared" si="76"/>
        <v>-1508.58</v>
      </c>
      <c r="L367" s="95">
        <f t="shared" si="76"/>
        <v>-1538.7516000000001</v>
      </c>
      <c r="M367" s="95">
        <f t="shared" si="76"/>
        <v>-1569.5266320000001</v>
      </c>
      <c r="N367" s="95">
        <f t="shared" si="76"/>
        <v>-1600.91716464</v>
      </c>
      <c r="O367" s="95">
        <f t="shared" si="76"/>
        <v>-1632.9355079328</v>
      </c>
      <c r="P367" s="95">
        <f t="shared" si="76"/>
        <v>-1665.594218091456</v>
      </c>
      <c r="Q367" s="95">
        <f t="shared" si="76"/>
        <v>-1698.9061024532853</v>
      </c>
      <c r="R367" s="95">
        <f t="shared" si="76"/>
        <v>-1732.8842245023509</v>
      </c>
      <c r="S367" s="95">
        <f t="shared" si="76"/>
        <v>-1767.541908992398</v>
      </c>
      <c r="T367" s="95">
        <f t="shared" si="76"/>
        <v>-1802.8927471722461</v>
      </c>
      <c r="U367" s="95">
        <f t="shared" si="76"/>
        <v>-1838.950602115691</v>
      </c>
      <c r="V367" s="84"/>
      <c r="X367" s="141"/>
    </row>
    <row r="368" spans="3:24" x14ac:dyDescent="0.2">
      <c r="C368" s="81"/>
      <c r="D368" s="83" t="s">
        <v>23</v>
      </c>
      <c r="E368" s="83"/>
      <c r="F368" s="85" t="s">
        <v>44</v>
      </c>
      <c r="G368" s="85"/>
      <c r="H368" s="85"/>
      <c r="I368" s="94">
        <v>-1550</v>
      </c>
      <c r="J368" s="95">
        <f t="shared" ref="J368:U368" si="77">I368*(1+J398)</f>
        <v>-1581</v>
      </c>
      <c r="K368" s="95">
        <f t="shared" si="77"/>
        <v>-1612.6200000000001</v>
      </c>
      <c r="L368" s="95">
        <f t="shared" si="77"/>
        <v>-1644.8724000000002</v>
      </c>
      <c r="M368" s="95">
        <f t="shared" si="77"/>
        <v>-1677.7698480000001</v>
      </c>
      <c r="N368" s="95">
        <f t="shared" si="77"/>
        <v>-1711.3252449600002</v>
      </c>
      <c r="O368" s="95">
        <f t="shared" si="77"/>
        <v>-1745.5517498592003</v>
      </c>
      <c r="P368" s="95">
        <f t="shared" si="77"/>
        <v>-1780.4627848563844</v>
      </c>
      <c r="Q368" s="95">
        <f t="shared" si="77"/>
        <v>-1816.0720405535121</v>
      </c>
      <c r="R368" s="95">
        <f t="shared" si="77"/>
        <v>-1852.3934813645824</v>
      </c>
      <c r="S368" s="95">
        <f t="shared" si="77"/>
        <v>-1889.4413509918741</v>
      </c>
      <c r="T368" s="95">
        <f t="shared" si="77"/>
        <v>-1927.2301780117116</v>
      </c>
      <c r="U368" s="95">
        <f t="shared" si="77"/>
        <v>-1965.7747815719458</v>
      </c>
      <c r="V368" s="84"/>
      <c r="X368" s="141"/>
    </row>
    <row r="369" spans="3:24" ht="5.0999999999999996" customHeight="1" x14ac:dyDescent="0.2">
      <c r="C369" s="81"/>
      <c r="D369" s="83"/>
      <c r="E369" s="83"/>
      <c r="F369" s="83"/>
      <c r="G369" s="83"/>
      <c r="H369" s="83"/>
      <c r="I369" s="96"/>
      <c r="J369" s="96"/>
      <c r="K369" s="96"/>
      <c r="L369" s="96"/>
      <c r="M369" s="96"/>
      <c r="N369" s="96"/>
      <c r="O369" s="96"/>
      <c r="P369" s="96"/>
      <c r="Q369" s="96"/>
      <c r="R369" s="96"/>
      <c r="S369" s="96"/>
      <c r="T369" s="96"/>
      <c r="U369" s="96"/>
      <c r="V369" s="84"/>
      <c r="X369" s="141"/>
    </row>
    <row r="370" spans="3:24" x14ac:dyDescent="0.2">
      <c r="C370" s="81"/>
      <c r="D370" s="88" t="s">
        <v>24</v>
      </c>
      <c r="E370" s="88"/>
      <c r="F370" s="88"/>
      <c r="G370" s="88"/>
      <c r="H370" s="88"/>
      <c r="I370" s="97">
        <f t="shared" ref="I370:T370" si="78">INDEX(I365:I369,MATCH($G$25,$D365:$D369,0))</f>
        <v>-1500</v>
      </c>
      <c r="J370" s="97">
        <f t="shared" si="78"/>
        <v>-1530</v>
      </c>
      <c r="K370" s="97">
        <f t="shared" si="78"/>
        <v>-1560.6000000000001</v>
      </c>
      <c r="L370" s="97">
        <f t="shared" si="78"/>
        <v>-1591.8120000000001</v>
      </c>
      <c r="M370" s="97">
        <f t="shared" si="78"/>
        <v>-1623.6482400000002</v>
      </c>
      <c r="N370" s="97">
        <f t="shared" si="78"/>
        <v>-1656.1212048000002</v>
      </c>
      <c r="O370" s="97">
        <f t="shared" si="78"/>
        <v>-1689.2436288960002</v>
      </c>
      <c r="P370" s="97">
        <f t="shared" si="78"/>
        <v>-1723.0285014739202</v>
      </c>
      <c r="Q370" s="97">
        <f t="shared" si="78"/>
        <v>-1757.4890715033987</v>
      </c>
      <c r="R370" s="97">
        <f t="shared" si="78"/>
        <v>-1792.6388529334668</v>
      </c>
      <c r="S370" s="97">
        <f t="shared" si="78"/>
        <v>-1828.491629992136</v>
      </c>
      <c r="T370" s="97">
        <f t="shared" si="78"/>
        <v>-1865.0614625919789</v>
      </c>
      <c r="U370" s="97">
        <f>INDEX(U365:U369,MATCH($G$25,$D365:$D369,0))</f>
        <v>-1902.3626918438185</v>
      </c>
      <c r="V370" s="84"/>
      <c r="X370" s="141"/>
    </row>
    <row r="371" spans="3:24" ht="5.0999999999999996" customHeight="1" x14ac:dyDescent="0.2">
      <c r="C371" s="91"/>
      <c r="D371" s="92"/>
      <c r="E371" s="92"/>
      <c r="F371" s="92"/>
      <c r="G371" s="92"/>
      <c r="H371" s="92"/>
      <c r="I371" s="92"/>
      <c r="J371" s="92"/>
      <c r="K371" s="92"/>
      <c r="L371" s="92"/>
      <c r="M371" s="92"/>
      <c r="N371" s="92"/>
      <c r="O371" s="92"/>
      <c r="P371" s="92"/>
      <c r="Q371" s="92"/>
      <c r="R371" s="92"/>
      <c r="S371" s="92"/>
      <c r="T371" s="92"/>
      <c r="U371" s="92"/>
      <c r="V371" s="93"/>
      <c r="X371" s="141"/>
    </row>
    <row r="372" spans="3:24" x14ac:dyDescent="0.2">
      <c r="X372" s="141"/>
    </row>
    <row r="373" spans="3:24" ht="5.0999999999999996" customHeight="1" x14ac:dyDescent="0.2">
      <c r="C373" s="78"/>
      <c r="D373" s="79"/>
      <c r="E373" s="79"/>
      <c r="F373" s="79"/>
      <c r="G373" s="79"/>
      <c r="H373" s="79"/>
      <c r="I373" s="79"/>
      <c r="J373" s="79"/>
      <c r="K373" s="79"/>
      <c r="L373" s="79"/>
      <c r="M373" s="79"/>
      <c r="N373" s="79"/>
      <c r="O373" s="79"/>
      <c r="P373" s="79"/>
      <c r="Q373" s="79"/>
      <c r="R373" s="79"/>
      <c r="S373" s="79"/>
      <c r="T373" s="79"/>
      <c r="U373" s="79"/>
      <c r="V373" s="80"/>
      <c r="X373" s="141"/>
    </row>
    <row r="374" spans="3:24" x14ac:dyDescent="0.2">
      <c r="C374" s="81"/>
      <c r="D374" s="82" t="s">
        <v>120</v>
      </c>
      <c r="E374" s="82"/>
      <c r="F374" s="83"/>
      <c r="G374" s="83"/>
      <c r="H374" s="83"/>
      <c r="I374" s="83"/>
      <c r="J374" s="83"/>
      <c r="K374" s="83"/>
      <c r="L374" s="83"/>
      <c r="M374" s="83"/>
      <c r="N374" s="83"/>
      <c r="O374" s="83"/>
      <c r="P374" s="83"/>
      <c r="Q374" s="83"/>
      <c r="R374" s="83"/>
      <c r="S374" s="83"/>
      <c r="T374" s="83"/>
      <c r="U374" s="83"/>
      <c r="V374" s="84"/>
      <c r="X374" s="141"/>
    </row>
    <row r="375" spans="3:24" ht="5.0999999999999996" customHeight="1" x14ac:dyDescent="0.2">
      <c r="C375" s="81"/>
      <c r="D375" s="83"/>
      <c r="E375" s="83"/>
      <c r="F375" s="83"/>
      <c r="G375" s="83"/>
      <c r="H375" s="83"/>
      <c r="I375" s="83"/>
      <c r="J375" s="83"/>
      <c r="K375" s="83"/>
      <c r="L375" s="83"/>
      <c r="M375" s="83"/>
      <c r="N375" s="83"/>
      <c r="O375" s="83"/>
      <c r="P375" s="83"/>
      <c r="Q375" s="83"/>
      <c r="R375" s="83"/>
      <c r="S375" s="83"/>
      <c r="T375" s="83"/>
      <c r="U375" s="83"/>
      <c r="V375" s="84"/>
      <c r="X375" s="141"/>
    </row>
    <row r="376" spans="3:24" x14ac:dyDescent="0.2">
      <c r="C376" s="81"/>
      <c r="D376" s="83" t="s">
        <v>21</v>
      </c>
      <c r="E376" s="83"/>
      <c r="F376" s="85" t="s">
        <v>44</v>
      </c>
      <c r="G376" s="85"/>
      <c r="H376" s="85"/>
      <c r="I376" s="94">
        <v>-50</v>
      </c>
      <c r="J376" s="95">
        <f t="shared" ref="J376:U376" si="79">I376*(1+J396)</f>
        <v>-51</v>
      </c>
      <c r="K376" s="95">
        <f t="shared" si="79"/>
        <v>-52.02</v>
      </c>
      <c r="L376" s="95">
        <f t="shared" si="79"/>
        <v>-53.060400000000001</v>
      </c>
      <c r="M376" s="95">
        <f t="shared" si="79"/>
        <v>-54.121608000000002</v>
      </c>
      <c r="N376" s="95">
        <f t="shared" si="79"/>
        <v>-55.204040160000005</v>
      </c>
      <c r="O376" s="95">
        <f t="shared" si="79"/>
        <v>-56.308120963200004</v>
      </c>
      <c r="P376" s="95">
        <f t="shared" si="79"/>
        <v>-57.434283382464002</v>
      </c>
      <c r="Q376" s="95">
        <f t="shared" si="79"/>
        <v>-58.582969050113284</v>
      </c>
      <c r="R376" s="95">
        <f t="shared" si="79"/>
        <v>-59.754628431115549</v>
      </c>
      <c r="S376" s="95">
        <f t="shared" si="79"/>
        <v>-60.949720999737863</v>
      </c>
      <c r="T376" s="95">
        <f t="shared" si="79"/>
        <v>-62.168715419732621</v>
      </c>
      <c r="U376" s="95">
        <f t="shared" si="79"/>
        <v>-63.412089728127278</v>
      </c>
      <c r="V376" s="84"/>
      <c r="X376" s="141"/>
    </row>
    <row r="377" spans="3:24" x14ac:dyDescent="0.2">
      <c r="C377" s="81"/>
      <c r="D377" s="83" t="s">
        <v>22</v>
      </c>
      <c r="E377" s="83"/>
      <c r="F377" s="85" t="s">
        <v>44</v>
      </c>
      <c r="G377" s="85"/>
      <c r="H377" s="85"/>
      <c r="I377" s="94">
        <v>-48</v>
      </c>
      <c r="J377" s="95">
        <f t="shared" ref="J377:U377" si="80">I377*(1+J397)</f>
        <v>-48.96</v>
      </c>
      <c r="K377" s="95">
        <f t="shared" si="80"/>
        <v>-49.9392</v>
      </c>
      <c r="L377" s="95">
        <f t="shared" si="80"/>
        <v>-50.937984</v>
      </c>
      <c r="M377" s="95">
        <f t="shared" si="80"/>
        <v>-51.956743680000002</v>
      </c>
      <c r="N377" s="95">
        <f t="shared" si="80"/>
        <v>-52.995878553600001</v>
      </c>
      <c r="O377" s="95">
        <f t="shared" si="80"/>
        <v>-54.055796124672</v>
      </c>
      <c r="P377" s="95">
        <f t="shared" si="80"/>
        <v>-55.136912047165438</v>
      </c>
      <c r="Q377" s="95">
        <f t="shared" si="80"/>
        <v>-56.239650288108749</v>
      </c>
      <c r="R377" s="95">
        <f t="shared" si="80"/>
        <v>-57.364443293870927</v>
      </c>
      <c r="S377" s="95">
        <f t="shared" si="80"/>
        <v>-58.511732159748348</v>
      </c>
      <c r="T377" s="95">
        <f t="shared" si="80"/>
        <v>-59.681966802943315</v>
      </c>
      <c r="U377" s="95">
        <f t="shared" si="80"/>
        <v>-60.87560613900218</v>
      </c>
      <c r="V377" s="84"/>
      <c r="X377" s="141"/>
    </row>
    <row r="378" spans="3:24" x14ac:dyDescent="0.2">
      <c r="C378" s="81"/>
      <c r="D378" s="83" t="s">
        <v>23</v>
      </c>
      <c r="E378" s="83"/>
      <c r="F378" s="85" t="s">
        <v>44</v>
      </c>
      <c r="G378" s="85"/>
      <c r="H378" s="85"/>
      <c r="I378" s="94">
        <v>-52</v>
      </c>
      <c r="J378" s="95">
        <f t="shared" ref="J378:U378" si="81">I378*(1+J398)</f>
        <v>-53.04</v>
      </c>
      <c r="K378" s="95">
        <f t="shared" si="81"/>
        <v>-54.1008</v>
      </c>
      <c r="L378" s="95">
        <f t="shared" si="81"/>
        <v>-55.182816000000003</v>
      </c>
      <c r="M378" s="95">
        <f t="shared" si="81"/>
        <v>-56.286472320000001</v>
      </c>
      <c r="N378" s="95">
        <f t="shared" si="81"/>
        <v>-57.412201766400003</v>
      </c>
      <c r="O378" s="95">
        <f t="shared" si="81"/>
        <v>-58.560445801728001</v>
      </c>
      <c r="P378" s="95">
        <f t="shared" si="81"/>
        <v>-59.731654717762559</v>
      </c>
      <c r="Q378" s="95">
        <f t="shared" si="81"/>
        <v>-60.926287812117813</v>
      </c>
      <c r="R378" s="95">
        <f t="shared" si="81"/>
        <v>-62.144813568360171</v>
      </c>
      <c r="S378" s="95">
        <f t="shared" si="81"/>
        <v>-63.387709839727378</v>
      </c>
      <c r="T378" s="95">
        <f t="shared" si="81"/>
        <v>-64.65546403652192</v>
      </c>
      <c r="U378" s="95">
        <f t="shared" si="81"/>
        <v>-65.948573317252354</v>
      </c>
      <c r="V378" s="84"/>
      <c r="X378" s="141"/>
    </row>
    <row r="379" spans="3:24" ht="5.0999999999999996" customHeight="1" x14ac:dyDescent="0.2">
      <c r="C379" s="81"/>
      <c r="D379" s="83"/>
      <c r="E379" s="83"/>
      <c r="F379" s="83"/>
      <c r="G379" s="83"/>
      <c r="H379" s="83"/>
      <c r="I379" s="96"/>
      <c r="J379" s="96"/>
      <c r="K379" s="96"/>
      <c r="L379" s="96"/>
      <c r="M379" s="96"/>
      <c r="N379" s="96"/>
      <c r="O379" s="96"/>
      <c r="P379" s="96"/>
      <c r="Q379" s="96"/>
      <c r="R379" s="96"/>
      <c r="S379" s="96"/>
      <c r="T379" s="96"/>
      <c r="U379" s="96"/>
      <c r="V379" s="84"/>
      <c r="X379" s="141"/>
    </row>
    <row r="380" spans="3:24" x14ac:dyDescent="0.2">
      <c r="C380" s="81"/>
      <c r="D380" s="88" t="s">
        <v>24</v>
      </c>
      <c r="E380" s="88"/>
      <c r="F380" s="88"/>
      <c r="G380" s="88"/>
      <c r="H380" s="88"/>
      <c r="I380" s="97">
        <f t="shared" ref="I380:T380" si="82">INDEX(I375:I379,MATCH($G$25,$D375:$D379,0))</f>
        <v>-50</v>
      </c>
      <c r="J380" s="97">
        <f t="shared" si="82"/>
        <v>-51</v>
      </c>
      <c r="K380" s="97">
        <f t="shared" si="82"/>
        <v>-52.02</v>
      </c>
      <c r="L380" s="97">
        <f t="shared" si="82"/>
        <v>-53.060400000000001</v>
      </c>
      <c r="M380" s="97">
        <f t="shared" si="82"/>
        <v>-54.121608000000002</v>
      </c>
      <c r="N380" s="97">
        <f t="shared" si="82"/>
        <v>-55.204040160000005</v>
      </c>
      <c r="O380" s="97">
        <f t="shared" si="82"/>
        <v>-56.308120963200004</v>
      </c>
      <c r="P380" s="97">
        <f t="shared" si="82"/>
        <v>-57.434283382464002</v>
      </c>
      <c r="Q380" s="97">
        <f t="shared" si="82"/>
        <v>-58.582969050113284</v>
      </c>
      <c r="R380" s="97">
        <f t="shared" si="82"/>
        <v>-59.754628431115549</v>
      </c>
      <c r="S380" s="97">
        <f t="shared" si="82"/>
        <v>-60.949720999737863</v>
      </c>
      <c r="T380" s="97">
        <f t="shared" si="82"/>
        <v>-62.168715419732621</v>
      </c>
      <c r="U380" s="97">
        <f>INDEX(U375:U379,MATCH($G$25,$D375:$D379,0))</f>
        <v>-63.412089728127278</v>
      </c>
      <c r="V380" s="84"/>
      <c r="X380" s="141"/>
    </row>
    <row r="381" spans="3:24" ht="5.0999999999999996" customHeight="1" x14ac:dyDescent="0.2">
      <c r="C381" s="91"/>
      <c r="D381" s="92"/>
      <c r="E381" s="92"/>
      <c r="F381" s="92"/>
      <c r="G381" s="92"/>
      <c r="H381" s="92"/>
      <c r="I381" s="92"/>
      <c r="J381" s="92"/>
      <c r="K381" s="92"/>
      <c r="L381" s="92"/>
      <c r="M381" s="92"/>
      <c r="N381" s="92"/>
      <c r="O381" s="92"/>
      <c r="P381" s="92"/>
      <c r="Q381" s="92"/>
      <c r="R381" s="92"/>
      <c r="S381" s="92"/>
      <c r="T381" s="92"/>
      <c r="U381" s="92"/>
      <c r="V381" s="93"/>
      <c r="X381" s="141"/>
    </row>
    <row r="382" spans="3:24" x14ac:dyDescent="0.2">
      <c r="X382" s="141"/>
    </row>
    <row r="383" spans="3:24" ht="5.0999999999999996" customHeight="1" x14ac:dyDescent="0.2">
      <c r="C383" s="78"/>
      <c r="D383" s="79"/>
      <c r="E383" s="79"/>
      <c r="F383" s="79"/>
      <c r="G383" s="79"/>
      <c r="H383" s="79"/>
      <c r="I383" s="79"/>
      <c r="J383" s="79"/>
      <c r="K383" s="79"/>
      <c r="L383" s="79"/>
      <c r="M383" s="79"/>
      <c r="N383" s="79"/>
      <c r="O383" s="79"/>
      <c r="P383" s="79"/>
      <c r="Q383" s="79"/>
      <c r="R383" s="79"/>
      <c r="S383" s="79"/>
      <c r="T383" s="79"/>
      <c r="U383" s="79"/>
      <c r="V383" s="80"/>
      <c r="X383" s="141"/>
    </row>
    <row r="384" spans="3:24" x14ac:dyDescent="0.2">
      <c r="C384" s="81"/>
      <c r="D384" s="82" t="s">
        <v>119</v>
      </c>
      <c r="E384" s="82"/>
      <c r="F384" s="83"/>
      <c r="G384" s="83"/>
      <c r="H384" s="83"/>
      <c r="I384" s="83"/>
      <c r="J384" s="83"/>
      <c r="K384" s="83"/>
      <c r="L384" s="83"/>
      <c r="M384" s="83"/>
      <c r="N384" s="83"/>
      <c r="O384" s="83"/>
      <c r="P384" s="83"/>
      <c r="Q384" s="83"/>
      <c r="R384" s="83"/>
      <c r="S384" s="83"/>
      <c r="T384" s="83"/>
      <c r="U384" s="83"/>
      <c r="V384" s="84"/>
      <c r="X384" s="141"/>
    </row>
    <row r="385" spans="3:24" ht="5.0999999999999996" customHeight="1" x14ac:dyDescent="0.2">
      <c r="C385" s="81"/>
      <c r="D385" s="83"/>
      <c r="E385" s="83"/>
      <c r="F385" s="83"/>
      <c r="G385" s="83"/>
      <c r="H385" s="83"/>
      <c r="I385" s="83"/>
      <c r="J385" s="83"/>
      <c r="K385" s="83"/>
      <c r="L385" s="83"/>
      <c r="M385" s="83"/>
      <c r="N385" s="83"/>
      <c r="O385" s="83"/>
      <c r="P385" s="83"/>
      <c r="Q385" s="83"/>
      <c r="R385" s="83"/>
      <c r="S385" s="83"/>
      <c r="T385" s="83"/>
      <c r="U385" s="83"/>
      <c r="V385" s="84"/>
      <c r="X385" s="141"/>
    </row>
    <row r="386" spans="3:24" x14ac:dyDescent="0.2">
      <c r="C386" s="81"/>
      <c r="D386" s="83" t="s">
        <v>21</v>
      </c>
      <c r="E386" s="83"/>
      <c r="F386" s="85" t="s">
        <v>44</v>
      </c>
      <c r="G386" s="85"/>
      <c r="H386" s="85"/>
      <c r="I386" s="94">
        <v>-2000</v>
      </c>
      <c r="J386" s="95">
        <f t="shared" ref="J386:U386" si="83">I386*(1+J396)</f>
        <v>-2040</v>
      </c>
      <c r="K386" s="95">
        <f t="shared" si="83"/>
        <v>-2080.8000000000002</v>
      </c>
      <c r="L386" s="95">
        <f t="shared" si="83"/>
        <v>-2122.4160000000002</v>
      </c>
      <c r="M386" s="95">
        <f t="shared" si="83"/>
        <v>-2164.8643200000001</v>
      </c>
      <c r="N386" s="95">
        <f t="shared" si="83"/>
        <v>-2208.1616064</v>
      </c>
      <c r="O386" s="95">
        <f t="shared" si="83"/>
        <v>-2252.3248385279999</v>
      </c>
      <c r="P386" s="95">
        <f t="shared" si="83"/>
        <v>-2297.3713352985601</v>
      </c>
      <c r="Q386" s="95">
        <f t="shared" si="83"/>
        <v>-2343.3187620045314</v>
      </c>
      <c r="R386" s="95">
        <f t="shared" si="83"/>
        <v>-2390.1851372446222</v>
      </c>
      <c r="S386" s="95">
        <f t="shared" si="83"/>
        <v>-2437.9888399895149</v>
      </c>
      <c r="T386" s="95">
        <f t="shared" si="83"/>
        <v>-2486.7486167893053</v>
      </c>
      <c r="U386" s="95">
        <f t="shared" si="83"/>
        <v>-2536.4835891250914</v>
      </c>
      <c r="V386" s="84"/>
      <c r="X386" s="141"/>
    </row>
    <row r="387" spans="3:24" x14ac:dyDescent="0.2">
      <c r="C387" s="81"/>
      <c r="D387" s="83" t="s">
        <v>22</v>
      </c>
      <c r="E387" s="83"/>
      <c r="F387" s="85" t="s">
        <v>44</v>
      </c>
      <c r="G387" s="85"/>
      <c r="H387" s="85"/>
      <c r="I387" s="94">
        <v>-1900</v>
      </c>
      <c r="J387" s="95">
        <f t="shared" ref="J387:U387" si="84">I387*(1+J397)</f>
        <v>-1938</v>
      </c>
      <c r="K387" s="95">
        <f t="shared" si="84"/>
        <v>-1976.76</v>
      </c>
      <c r="L387" s="95">
        <f t="shared" si="84"/>
        <v>-2016.2952</v>
      </c>
      <c r="M387" s="95">
        <f t="shared" si="84"/>
        <v>-2056.6211039999998</v>
      </c>
      <c r="N387" s="95">
        <f t="shared" si="84"/>
        <v>-2097.75352608</v>
      </c>
      <c r="O387" s="95">
        <f t="shared" si="84"/>
        <v>-2139.7085966016002</v>
      </c>
      <c r="P387" s="95">
        <f t="shared" si="84"/>
        <v>-2182.5027685336322</v>
      </c>
      <c r="Q387" s="95">
        <f t="shared" si="84"/>
        <v>-2226.152823904305</v>
      </c>
      <c r="R387" s="95">
        <f t="shared" si="84"/>
        <v>-2270.6758803823914</v>
      </c>
      <c r="S387" s="95">
        <f t="shared" si="84"/>
        <v>-2316.0893979900393</v>
      </c>
      <c r="T387" s="95">
        <f t="shared" si="84"/>
        <v>-2362.4111859498403</v>
      </c>
      <c r="U387" s="95">
        <f t="shared" si="84"/>
        <v>-2409.6594096688373</v>
      </c>
      <c r="V387" s="84"/>
      <c r="X387" s="141"/>
    </row>
    <row r="388" spans="3:24" x14ac:dyDescent="0.2">
      <c r="C388" s="81"/>
      <c r="D388" s="83" t="s">
        <v>23</v>
      </c>
      <c r="E388" s="83"/>
      <c r="F388" s="85" t="s">
        <v>44</v>
      </c>
      <c r="G388" s="85"/>
      <c r="H388" s="85"/>
      <c r="I388" s="94">
        <v>-2100</v>
      </c>
      <c r="J388" s="95">
        <f t="shared" ref="J388:U388" si="85">I388*(1+J398)</f>
        <v>-2142</v>
      </c>
      <c r="K388" s="95">
        <f t="shared" si="85"/>
        <v>-2184.84</v>
      </c>
      <c r="L388" s="95">
        <f t="shared" si="85"/>
        <v>-2228.5368000000003</v>
      </c>
      <c r="M388" s="95">
        <f t="shared" si="85"/>
        <v>-2273.1075360000004</v>
      </c>
      <c r="N388" s="95">
        <f t="shared" si="85"/>
        <v>-2318.5696867200004</v>
      </c>
      <c r="O388" s="95">
        <f t="shared" si="85"/>
        <v>-2364.9410804544004</v>
      </c>
      <c r="P388" s="95">
        <f t="shared" si="85"/>
        <v>-2412.2399020634884</v>
      </c>
      <c r="Q388" s="95">
        <f t="shared" si="85"/>
        <v>-2460.4847001047583</v>
      </c>
      <c r="R388" s="95">
        <f t="shared" si="85"/>
        <v>-2509.6943941068535</v>
      </c>
      <c r="S388" s="95">
        <f t="shared" si="85"/>
        <v>-2559.8882819889905</v>
      </c>
      <c r="T388" s="95">
        <f t="shared" si="85"/>
        <v>-2611.0860476287703</v>
      </c>
      <c r="U388" s="95">
        <f t="shared" si="85"/>
        <v>-2663.307768581346</v>
      </c>
      <c r="V388" s="84"/>
      <c r="X388" s="141"/>
    </row>
    <row r="389" spans="3:24" ht="5.0999999999999996" customHeight="1" x14ac:dyDescent="0.2">
      <c r="C389" s="81"/>
      <c r="D389" s="83"/>
      <c r="E389" s="83"/>
      <c r="F389" s="83"/>
      <c r="G389" s="83"/>
      <c r="H389" s="83"/>
      <c r="I389" s="96"/>
      <c r="J389" s="96"/>
      <c r="K389" s="96"/>
      <c r="L389" s="96"/>
      <c r="M389" s="96"/>
      <c r="N389" s="96"/>
      <c r="O389" s="96"/>
      <c r="P389" s="96"/>
      <c r="Q389" s="96"/>
      <c r="R389" s="96"/>
      <c r="S389" s="96"/>
      <c r="T389" s="96"/>
      <c r="U389" s="96"/>
      <c r="V389" s="84"/>
      <c r="X389" s="141"/>
    </row>
    <row r="390" spans="3:24" x14ac:dyDescent="0.2">
      <c r="C390" s="81"/>
      <c r="D390" s="88" t="s">
        <v>24</v>
      </c>
      <c r="E390" s="88"/>
      <c r="F390" s="88"/>
      <c r="G390" s="88"/>
      <c r="H390" s="88"/>
      <c r="I390" s="97">
        <f t="shared" ref="I390:T390" si="86">INDEX(I385:I389,MATCH($G$25,$D385:$D389,0))</f>
        <v>-2000</v>
      </c>
      <c r="J390" s="97">
        <f t="shared" si="86"/>
        <v>-2040</v>
      </c>
      <c r="K390" s="97">
        <f t="shared" si="86"/>
        <v>-2080.8000000000002</v>
      </c>
      <c r="L390" s="97">
        <f t="shared" si="86"/>
        <v>-2122.4160000000002</v>
      </c>
      <c r="M390" s="97">
        <f t="shared" si="86"/>
        <v>-2164.8643200000001</v>
      </c>
      <c r="N390" s="97">
        <f t="shared" si="86"/>
        <v>-2208.1616064</v>
      </c>
      <c r="O390" s="97">
        <f t="shared" si="86"/>
        <v>-2252.3248385279999</v>
      </c>
      <c r="P390" s="97">
        <f t="shared" si="86"/>
        <v>-2297.3713352985601</v>
      </c>
      <c r="Q390" s="97">
        <f t="shared" si="86"/>
        <v>-2343.3187620045314</v>
      </c>
      <c r="R390" s="97">
        <f t="shared" si="86"/>
        <v>-2390.1851372446222</v>
      </c>
      <c r="S390" s="97">
        <f t="shared" si="86"/>
        <v>-2437.9888399895149</v>
      </c>
      <c r="T390" s="97">
        <f t="shared" si="86"/>
        <v>-2486.7486167893053</v>
      </c>
      <c r="U390" s="97">
        <f>INDEX(U385:U389,MATCH($G$25,$D385:$D389,0))</f>
        <v>-2536.4835891250914</v>
      </c>
      <c r="V390" s="84"/>
      <c r="X390" s="141"/>
    </row>
    <row r="391" spans="3:24" ht="5.0999999999999996" customHeight="1" x14ac:dyDescent="0.2">
      <c r="C391" s="91"/>
      <c r="D391" s="92"/>
      <c r="E391" s="92"/>
      <c r="F391" s="92"/>
      <c r="G391" s="92"/>
      <c r="H391" s="92"/>
      <c r="I391" s="92"/>
      <c r="J391" s="92"/>
      <c r="K391" s="92"/>
      <c r="L391" s="92"/>
      <c r="M391" s="92"/>
      <c r="N391" s="92"/>
      <c r="O391" s="92"/>
      <c r="P391" s="92"/>
      <c r="Q391" s="92"/>
      <c r="R391" s="92"/>
      <c r="S391" s="92"/>
      <c r="T391" s="92"/>
      <c r="U391" s="92"/>
      <c r="V391" s="93"/>
      <c r="X391" s="141"/>
    </row>
    <row r="392" spans="3:24" x14ac:dyDescent="0.2">
      <c r="X392" s="141"/>
    </row>
    <row r="393" spans="3:24" ht="5.0999999999999996" customHeight="1" x14ac:dyDescent="0.2">
      <c r="C393" s="78"/>
      <c r="D393" s="79"/>
      <c r="E393" s="79"/>
      <c r="F393" s="79"/>
      <c r="G393" s="79"/>
      <c r="H393" s="79"/>
      <c r="I393" s="79"/>
      <c r="J393" s="79"/>
      <c r="K393" s="79"/>
      <c r="L393" s="79"/>
      <c r="M393" s="79"/>
      <c r="N393" s="79"/>
      <c r="O393" s="79"/>
      <c r="P393" s="79"/>
      <c r="Q393" s="79"/>
      <c r="R393" s="79"/>
      <c r="S393" s="79"/>
      <c r="T393" s="79"/>
      <c r="U393" s="79"/>
      <c r="V393" s="80"/>
      <c r="X393" s="141"/>
    </row>
    <row r="394" spans="3:24" x14ac:dyDescent="0.2">
      <c r="C394" s="81"/>
      <c r="D394" s="82" t="s">
        <v>117</v>
      </c>
      <c r="E394" s="82"/>
      <c r="F394" s="83"/>
      <c r="G394" s="83"/>
      <c r="H394" s="83"/>
      <c r="I394" s="83"/>
      <c r="J394" s="83"/>
      <c r="K394" s="83"/>
      <c r="L394" s="83"/>
      <c r="M394" s="83"/>
      <c r="N394" s="83"/>
      <c r="O394" s="83"/>
      <c r="P394" s="83"/>
      <c r="Q394" s="83"/>
      <c r="R394" s="83"/>
      <c r="S394" s="83"/>
      <c r="T394" s="83"/>
      <c r="U394" s="83"/>
      <c r="V394" s="84"/>
      <c r="X394" s="141"/>
    </row>
    <row r="395" spans="3:24" ht="5.0999999999999996" customHeight="1" x14ac:dyDescent="0.2">
      <c r="C395" s="81"/>
      <c r="D395" s="83"/>
      <c r="E395" s="83"/>
      <c r="F395" s="83"/>
      <c r="G395" s="83"/>
      <c r="H395" s="83"/>
      <c r="I395" s="83"/>
      <c r="J395" s="83"/>
      <c r="K395" s="83"/>
      <c r="L395" s="83"/>
      <c r="M395" s="83"/>
      <c r="N395" s="83"/>
      <c r="O395" s="83"/>
      <c r="P395" s="83"/>
      <c r="Q395" s="83"/>
      <c r="R395" s="83"/>
      <c r="S395" s="83"/>
      <c r="T395" s="83"/>
      <c r="U395" s="83"/>
      <c r="V395" s="84"/>
      <c r="X395" s="141"/>
    </row>
    <row r="396" spans="3:24" x14ac:dyDescent="0.2">
      <c r="C396" s="81"/>
      <c r="D396" s="83" t="s">
        <v>21</v>
      </c>
      <c r="E396" s="83"/>
      <c r="F396" s="85" t="s">
        <v>32</v>
      </c>
      <c r="G396" s="85"/>
      <c r="H396" s="85"/>
      <c r="I396" s="98" t="s">
        <v>37</v>
      </c>
      <c r="J396" s="86">
        <v>0.02</v>
      </c>
      <c r="K396" s="86">
        <v>0.02</v>
      </c>
      <c r="L396" s="86">
        <v>0.02</v>
      </c>
      <c r="M396" s="86">
        <v>0.02</v>
      </c>
      <c r="N396" s="86">
        <v>0.02</v>
      </c>
      <c r="O396" s="86">
        <v>0.02</v>
      </c>
      <c r="P396" s="86">
        <v>0.02</v>
      </c>
      <c r="Q396" s="86">
        <v>0.02</v>
      </c>
      <c r="R396" s="86">
        <v>0.02</v>
      </c>
      <c r="S396" s="86">
        <v>0.02</v>
      </c>
      <c r="T396" s="86">
        <v>0.02</v>
      </c>
      <c r="U396" s="86">
        <v>0.02</v>
      </c>
      <c r="V396" s="84"/>
      <c r="X396" s="141"/>
    </row>
    <row r="397" spans="3:24" x14ac:dyDescent="0.2">
      <c r="C397" s="81"/>
      <c r="D397" s="83" t="s">
        <v>22</v>
      </c>
      <c r="E397" s="83"/>
      <c r="F397" s="85" t="s">
        <v>32</v>
      </c>
      <c r="G397" s="85"/>
      <c r="H397" s="85"/>
      <c r="I397" s="98" t="s">
        <v>37</v>
      </c>
      <c r="J397" s="86">
        <v>0.02</v>
      </c>
      <c r="K397" s="86">
        <v>0.02</v>
      </c>
      <c r="L397" s="86">
        <v>0.02</v>
      </c>
      <c r="M397" s="86">
        <v>0.02</v>
      </c>
      <c r="N397" s="86">
        <v>0.02</v>
      </c>
      <c r="O397" s="86">
        <v>0.02</v>
      </c>
      <c r="P397" s="86">
        <v>0.02</v>
      </c>
      <c r="Q397" s="86">
        <v>0.02</v>
      </c>
      <c r="R397" s="86">
        <v>0.02</v>
      </c>
      <c r="S397" s="86">
        <v>0.02</v>
      </c>
      <c r="T397" s="86">
        <v>0.02</v>
      </c>
      <c r="U397" s="86">
        <v>0.02</v>
      </c>
      <c r="V397" s="84"/>
      <c r="X397" s="141"/>
    </row>
    <row r="398" spans="3:24" x14ac:dyDescent="0.2">
      <c r="C398" s="81"/>
      <c r="D398" s="83" t="s">
        <v>23</v>
      </c>
      <c r="E398" s="83"/>
      <c r="F398" s="85" t="s">
        <v>32</v>
      </c>
      <c r="G398" s="85"/>
      <c r="H398" s="85"/>
      <c r="I398" s="98" t="s">
        <v>37</v>
      </c>
      <c r="J398" s="86">
        <v>0.02</v>
      </c>
      <c r="K398" s="86">
        <v>0.02</v>
      </c>
      <c r="L398" s="86">
        <v>0.02</v>
      </c>
      <c r="M398" s="86">
        <v>0.02</v>
      </c>
      <c r="N398" s="86">
        <v>0.02</v>
      </c>
      <c r="O398" s="86">
        <v>0.02</v>
      </c>
      <c r="P398" s="86">
        <v>0.02</v>
      </c>
      <c r="Q398" s="86">
        <v>0.02</v>
      </c>
      <c r="R398" s="86">
        <v>0.02</v>
      </c>
      <c r="S398" s="86">
        <v>0.02</v>
      </c>
      <c r="T398" s="86">
        <v>0.02</v>
      </c>
      <c r="U398" s="86">
        <v>0.02</v>
      </c>
      <c r="V398" s="84"/>
      <c r="X398" s="141"/>
    </row>
    <row r="399" spans="3:24" ht="5.0999999999999996" customHeight="1" x14ac:dyDescent="0.2">
      <c r="C399" s="81"/>
      <c r="D399" s="83"/>
      <c r="E399" s="83"/>
      <c r="F399" s="83"/>
      <c r="G399" s="83"/>
      <c r="H399" s="83"/>
      <c r="I399" s="83"/>
      <c r="J399" s="83"/>
      <c r="K399" s="83"/>
      <c r="L399" s="83"/>
      <c r="M399" s="83"/>
      <c r="N399" s="83"/>
      <c r="O399" s="83"/>
      <c r="P399" s="83"/>
      <c r="Q399" s="83"/>
      <c r="R399" s="83"/>
      <c r="S399" s="83"/>
      <c r="T399" s="83"/>
      <c r="U399" s="83"/>
      <c r="V399" s="84"/>
      <c r="X399" s="141"/>
    </row>
    <row r="400" spans="3:24" x14ac:dyDescent="0.2">
      <c r="C400" s="81"/>
      <c r="D400" s="88" t="s">
        <v>24</v>
      </c>
      <c r="E400" s="88"/>
      <c r="F400" s="88"/>
      <c r="G400" s="88"/>
      <c r="H400" s="88"/>
      <c r="I400" s="89" t="str">
        <f t="shared" ref="I400:T400" si="87">INDEX(I395:I399,MATCH($G$25,$D395:$D399,0))</f>
        <v>---</v>
      </c>
      <c r="J400" s="90">
        <f t="shared" si="87"/>
        <v>0.02</v>
      </c>
      <c r="K400" s="90">
        <f t="shared" si="87"/>
        <v>0.02</v>
      </c>
      <c r="L400" s="90">
        <f t="shared" si="87"/>
        <v>0.02</v>
      </c>
      <c r="M400" s="90">
        <f t="shared" si="87"/>
        <v>0.02</v>
      </c>
      <c r="N400" s="90">
        <f t="shared" si="87"/>
        <v>0.02</v>
      </c>
      <c r="O400" s="90">
        <f t="shared" si="87"/>
        <v>0.02</v>
      </c>
      <c r="P400" s="90">
        <f t="shared" si="87"/>
        <v>0.02</v>
      </c>
      <c r="Q400" s="90">
        <f t="shared" si="87"/>
        <v>0.02</v>
      </c>
      <c r="R400" s="90">
        <f t="shared" si="87"/>
        <v>0.02</v>
      </c>
      <c r="S400" s="90">
        <f t="shared" si="87"/>
        <v>0.02</v>
      </c>
      <c r="T400" s="90">
        <f t="shared" si="87"/>
        <v>0.02</v>
      </c>
      <c r="U400" s="90">
        <f>INDEX(U395:U399,MATCH($G$25,$D395:$D399,0))</f>
        <v>0.02</v>
      </c>
      <c r="V400" s="84"/>
      <c r="X400" s="141"/>
    </row>
    <row r="401" spans="2:24" ht="5.0999999999999996" customHeight="1" x14ac:dyDescent="0.2">
      <c r="C401" s="91"/>
      <c r="D401" s="92"/>
      <c r="E401" s="92"/>
      <c r="F401" s="92"/>
      <c r="G401" s="92"/>
      <c r="H401" s="92"/>
      <c r="I401" s="92"/>
      <c r="J401" s="92"/>
      <c r="K401" s="92"/>
      <c r="L401" s="92"/>
      <c r="M401" s="92"/>
      <c r="N401" s="92"/>
      <c r="O401" s="92"/>
      <c r="P401" s="92"/>
      <c r="Q401" s="92"/>
      <c r="R401" s="92"/>
      <c r="S401" s="92"/>
      <c r="T401" s="92"/>
      <c r="U401" s="92"/>
      <c r="V401" s="93"/>
      <c r="X401" s="141"/>
    </row>
    <row r="402" spans="2:24" x14ac:dyDescent="0.2">
      <c r="X402" s="141"/>
    </row>
    <row r="403" spans="2:24" x14ac:dyDescent="0.2">
      <c r="B403" s="18" t="s">
        <v>114</v>
      </c>
      <c r="C403" s="18"/>
      <c r="D403" s="18"/>
      <c r="X403" s="141"/>
    </row>
    <row r="404" spans="2:24" x14ac:dyDescent="0.2">
      <c r="I404" s="9"/>
      <c r="R404" s="8"/>
      <c r="S404" s="8"/>
      <c r="T404" s="8"/>
      <c r="U404" s="8"/>
      <c r="X404" s="141"/>
    </row>
    <row r="405" spans="2:24" ht="15" x14ac:dyDescent="0.2">
      <c r="D405" s="225"/>
      <c r="E405" s="225"/>
      <c r="F405" s="225"/>
      <c r="G405" s="180"/>
      <c r="H405" s="180"/>
      <c r="I405" s="99" t="s">
        <v>25</v>
      </c>
      <c r="J405" s="99"/>
      <c r="K405" s="99"/>
      <c r="L405" s="99"/>
      <c r="M405" s="99"/>
      <c r="N405" s="99"/>
      <c r="O405" s="99"/>
      <c r="P405" s="99"/>
      <c r="Q405" s="99"/>
      <c r="R405" s="99"/>
      <c r="S405" s="99"/>
      <c r="T405" s="99"/>
      <c r="U405" s="99"/>
      <c r="X405" s="141"/>
    </row>
    <row r="406" spans="2:24" x14ac:dyDescent="0.2">
      <c r="D406" s="225"/>
      <c r="E406" s="225"/>
      <c r="F406" s="180"/>
      <c r="G406" s="180"/>
      <c r="H406" s="180"/>
      <c r="I406" s="100">
        <f>EOMONTH($G$19, $G$24)</f>
        <v>43465</v>
      </c>
      <c r="J406" s="100">
        <f t="shared" ref="J406:U406" si="88">EOMONTH(I406, $G$24)</f>
        <v>43830</v>
      </c>
      <c r="K406" s="100">
        <f t="shared" si="88"/>
        <v>44196</v>
      </c>
      <c r="L406" s="100">
        <f t="shared" si="88"/>
        <v>44561</v>
      </c>
      <c r="M406" s="100">
        <f t="shared" si="88"/>
        <v>44926</v>
      </c>
      <c r="N406" s="100">
        <f t="shared" si="88"/>
        <v>45291</v>
      </c>
      <c r="O406" s="100">
        <f t="shared" si="88"/>
        <v>45657</v>
      </c>
      <c r="P406" s="100">
        <f t="shared" si="88"/>
        <v>46022</v>
      </c>
      <c r="Q406" s="100">
        <f t="shared" si="88"/>
        <v>46387</v>
      </c>
      <c r="R406" s="100">
        <f t="shared" si="88"/>
        <v>46752</v>
      </c>
      <c r="S406" s="100">
        <f t="shared" si="88"/>
        <v>47118</v>
      </c>
      <c r="T406" s="100">
        <f t="shared" si="88"/>
        <v>47483</v>
      </c>
      <c r="U406" s="100">
        <f t="shared" si="88"/>
        <v>47848</v>
      </c>
      <c r="X406" s="141"/>
    </row>
    <row r="407" spans="2:24" x14ac:dyDescent="0.2">
      <c r="D407" s="225"/>
      <c r="E407" s="225"/>
      <c r="F407" s="180" t="s">
        <v>192</v>
      </c>
      <c r="G407" s="180"/>
      <c r="H407" s="180"/>
      <c r="I407" s="101">
        <f>EOMONTH($G$19, $G$24)</f>
        <v>43465</v>
      </c>
      <c r="J407" s="101">
        <f t="shared" ref="J407:U407" si="89">EOMONTH(I407, $G$24)</f>
        <v>43830</v>
      </c>
      <c r="K407" s="101">
        <f t="shared" si="89"/>
        <v>44196</v>
      </c>
      <c r="L407" s="101">
        <f t="shared" si="89"/>
        <v>44561</v>
      </c>
      <c r="M407" s="101">
        <f t="shared" si="89"/>
        <v>44926</v>
      </c>
      <c r="N407" s="101">
        <f t="shared" si="89"/>
        <v>45291</v>
      </c>
      <c r="O407" s="101">
        <f t="shared" si="89"/>
        <v>45657</v>
      </c>
      <c r="P407" s="101">
        <f t="shared" si="89"/>
        <v>46022</v>
      </c>
      <c r="Q407" s="101">
        <f t="shared" si="89"/>
        <v>46387</v>
      </c>
      <c r="R407" s="101">
        <f t="shared" si="89"/>
        <v>46752</v>
      </c>
      <c r="S407" s="101">
        <f t="shared" si="89"/>
        <v>47118</v>
      </c>
      <c r="T407" s="101">
        <f t="shared" si="89"/>
        <v>47483</v>
      </c>
      <c r="U407" s="101">
        <f t="shared" si="89"/>
        <v>47848</v>
      </c>
      <c r="X407" s="141"/>
    </row>
    <row r="408" spans="2:24" x14ac:dyDescent="0.2">
      <c r="X408" s="141"/>
    </row>
    <row r="409" spans="2:24" ht="5.0999999999999996" customHeight="1" x14ac:dyDescent="0.2"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  <c r="T409" s="63"/>
      <c r="U409" s="63"/>
      <c r="V409" s="64"/>
      <c r="X409" s="141"/>
    </row>
    <row r="410" spans="2:24" x14ac:dyDescent="0.2">
      <c r="C410" s="65"/>
      <c r="D410" s="66" t="s">
        <v>125</v>
      </c>
      <c r="E410" s="66"/>
      <c r="F410" s="67"/>
      <c r="G410" s="67"/>
      <c r="H410" s="67"/>
      <c r="I410" s="67"/>
      <c r="J410" s="67"/>
      <c r="K410" s="67"/>
      <c r="L410" s="67"/>
      <c r="M410" s="67"/>
      <c r="N410" s="67"/>
      <c r="O410" s="67"/>
      <c r="P410" s="67"/>
      <c r="Q410" s="67"/>
      <c r="R410" s="67"/>
      <c r="S410" s="67"/>
      <c r="T410" s="67"/>
      <c r="U410" s="67"/>
      <c r="V410" s="68"/>
      <c r="X410" s="141"/>
    </row>
    <row r="411" spans="2:24" ht="5.0999999999999996" customHeight="1" x14ac:dyDescent="0.2">
      <c r="C411" s="65"/>
      <c r="D411" s="67"/>
      <c r="E411" s="67"/>
      <c r="F411" s="67"/>
      <c r="G411" s="67"/>
      <c r="H411" s="67"/>
      <c r="I411" s="67"/>
      <c r="J411" s="67"/>
      <c r="K411" s="67"/>
      <c r="L411" s="67"/>
      <c r="M411" s="67"/>
      <c r="N411" s="67"/>
      <c r="O411" s="67"/>
      <c r="P411" s="67"/>
      <c r="Q411" s="67"/>
      <c r="R411" s="67"/>
      <c r="S411" s="67"/>
      <c r="T411" s="67"/>
      <c r="U411" s="67"/>
      <c r="V411" s="68"/>
      <c r="X411" s="141"/>
    </row>
    <row r="412" spans="2:24" x14ac:dyDescent="0.2">
      <c r="C412" s="65"/>
      <c r="D412" s="67" t="s">
        <v>21</v>
      </c>
      <c r="E412" s="67"/>
      <c r="F412" s="69" t="s">
        <v>203</v>
      </c>
      <c r="G412" s="69"/>
      <c r="H412" s="69"/>
      <c r="I412" s="70">
        <f>2/3</f>
        <v>0.66666666666666663</v>
      </c>
      <c r="J412" s="70">
        <f>1/3</f>
        <v>0.33333333333333331</v>
      </c>
      <c r="K412" s="70"/>
      <c r="L412" s="71"/>
      <c r="M412" s="71"/>
      <c r="N412" s="71"/>
      <c r="O412" s="71"/>
      <c r="P412" s="71"/>
      <c r="Q412" s="71"/>
      <c r="R412" s="71"/>
      <c r="S412" s="71"/>
      <c r="T412" s="71"/>
      <c r="U412" s="71"/>
      <c r="V412" s="68"/>
      <c r="X412" s="141"/>
    </row>
    <row r="413" spans="2:24" x14ac:dyDescent="0.2">
      <c r="C413" s="65"/>
      <c r="D413" s="67" t="s">
        <v>22</v>
      </c>
      <c r="E413" s="67"/>
      <c r="F413" s="69" t="s">
        <v>203</v>
      </c>
      <c r="G413" s="69"/>
      <c r="H413" s="69"/>
      <c r="I413" s="70">
        <v>0.75</v>
      </c>
      <c r="J413" s="70">
        <v>0.25</v>
      </c>
      <c r="K413" s="70"/>
      <c r="L413" s="71"/>
      <c r="M413" s="71"/>
      <c r="N413" s="71"/>
      <c r="O413" s="71"/>
      <c r="P413" s="71"/>
      <c r="Q413" s="71"/>
      <c r="R413" s="71"/>
      <c r="S413" s="71"/>
      <c r="T413" s="71"/>
      <c r="U413" s="71"/>
      <c r="V413" s="68"/>
      <c r="X413" s="141"/>
    </row>
    <row r="414" spans="2:24" x14ac:dyDescent="0.2">
      <c r="C414" s="65"/>
      <c r="D414" s="67" t="s">
        <v>23</v>
      </c>
      <c r="E414" s="67"/>
      <c r="F414" s="69" t="s">
        <v>203</v>
      </c>
      <c r="G414" s="69"/>
      <c r="H414" s="69"/>
      <c r="I414" s="70">
        <v>0.5</v>
      </c>
      <c r="J414" s="70">
        <v>0.5</v>
      </c>
      <c r="K414" s="70"/>
      <c r="L414" s="71"/>
      <c r="M414" s="71"/>
      <c r="N414" s="71"/>
      <c r="O414" s="71"/>
      <c r="P414" s="71"/>
      <c r="Q414" s="71"/>
      <c r="R414" s="71"/>
      <c r="S414" s="71"/>
      <c r="T414" s="71"/>
      <c r="U414" s="71"/>
      <c r="V414" s="68"/>
      <c r="X414" s="141"/>
    </row>
    <row r="415" spans="2:24" ht="5.0999999999999996" customHeight="1" x14ac:dyDescent="0.2">
      <c r="C415" s="65"/>
      <c r="D415" s="67"/>
      <c r="E415" s="67"/>
      <c r="F415" s="67"/>
      <c r="G415" s="67"/>
      <c r="H415" s="67"/>
      <c r="I415" s="67"/>
      <c r="J415" s="67"/>
      <c r="K415" s="67"/>
      <c r="L415" s="67"/>
      <c r="M415" s="67"/>
      <c r="N415" s="67"/>
      <c r="O415" s="67"/>
      <c r="P415" s="67"/>
      <c r="Q415" s="67"/>
      <c r="R415" s="67"/>
      <c r="S415" s="67"/>
      <c r="T415" s="67"/>
      <c r="U415" s="67"/>
      <c r="V415" s="68"/>
      <c r="X415" s="141"/>
    </row>
    <row r="416" spans="2:24" x14ac:dyDescent="0.2">
      <c r="C416" s="65"/>
      <c r="D416" s="72" t="s">
        <v>24</v>
      </c>
      <c r="E416" s="72"/>
      <c r="F416" s="72"/>
      <c r="G416" s="72"/>
      <c r="H416" s="72"/>
      <c r="I416" s="73">
        <f t="shared" ref="I416:T416" si="90">INDEX(I411:I415,MATCH($G$25,$D411:$D415,0))</f>
        <v>0.66666666666666663</v>
      </c>
      <c r="J416" s="74">
        <f t="shared" si="90"/>
        <v>0.33333333333333331</v>
      </c>
      <c r="K416" s="74">
        <f t="shared" si="90"/>
        <v>0</v>
      </c>
      <c r="L416" s="74">
        <f t="shared" si="90"/>
        <v>0</v>
      </c>
      <c r="M416" s="74">
        <f t="shared" si="90"/>
        <v>0</v>
      </c>
      <c r="N416" s="74">
        <f t="shared" si="90"/>
        <v>0</v>
      </c>
      <c r="O416" s="74">
        <f t="shared" si="90"/>
        <v>0</v>
      </c>
      <c r="P416" s="74">
        <f t="shared" si="90"/>
        <v>0</v>
      </c>
      <c r="Q416" s="74">
        <f t="shared" si="90"/>
        <v>0</v>
      </c>
      <c r="R416" s="74">
        <f t="shared" si="90"/>
        <v>0</v>
      </c>
      <c r="S416" s="74">
        <f t="shared" si="90"/>
        <v>0</v>
      </c>
      <c r="T416" s="74">
        <f t="shared" si="90"/>
        <v>0</v>
      </c>
      <c r="U416" s="74">
        <f>INDEX(U411:U415,MATCH($G$25,$D411:$D415,0))</f>
        <v>0</v>
      </c>
      <c r="V416" s="68"/>
      <c r="X416" s="141"/>
    </row>
    <row r="417" spans="2:24" ht="5.0999999999999996" customHeight="1" x14ac:dyDescent="0.2">
      <c r="C417" s="75"/>
      <c r="D417" s="76"/>
      <c r="E417" s="76"/>
      <c r="F417" s="76"/>
      <c r="G417" s="76"/>
      <c r="H417" s="76"/>
      <c r="I417" s="76"/>
      <c r="J417" s="76"/>
      <c r="K417" s="76"/>
      <c r="L417" s="76"/>
      <c r="M417" s="76"/>
      <c r="N417" s="76"/>
      <c r="O417" s="76"/>
      <c r="P417" s="76"/>
      <c r="Q417" s="76"/>
      <c r="R417" s="76"/>
      <c r="S417" s="76"/>
      <c r="T417" s="76"/>
      <c r="U417" s="76"/>
      <c r="V417" s="77"/>
      <c r="X417" s="141"/>
    </row>
    <row r="418" spans="2:24" x14ac:dyDescent="0.2">
      <c r="X418" s="141"/>
    </row>
    <row r="419" spans="2:24" x14ac:dyDescent="0.2">
      <c r="B419" s="18" t="s">
        <v>294</v>
      </c>
      <c r="C419" s="18"/>
      <c r="D419" s="18"/>
      <c r="E419" s="14"/>
      <c r="X419" s="141"/>
    </row>
    <row r="420" spans="2:24" x14ac:dyDescent="0.2">
      <c r="T420" s="23"/>
      <c r="X420" s="141"/>
    </row>
    <row r="421" spans="2:24" ht="15" x14ac:dyDescent="0.2">
      <c r="D421" s="225"/>
      <c r="E421" s="225"/>
      <c r="F421" s="225"/>
      <c r="G421" s="225"/>
      <c r="H421" s="225"/>
      <c r="I421" s="99" t="s">
        <v>25</v>
      </c>
      <c r="J421" s="99"/>
      <c r="K421" s="99"/>
      <c r="L421" s="99"/>
      <c r="M421" s="99"/>
      <c r="N421" s="99"/>
      <c r="O421" s="99"/>
      <c r="P421" s="99"/>
      <c r="Q421" s="99"/>
      <c r="R421" s="99"/>
      <c r="S421" s="99"/>
      <c r="T421" s="99"/>
      <c r="U421" s="99"/>
      <c r="X421" s="141"/>
    </row>
    <row r="422" spans="2:24" x14ac:dyDescent="0.2">
      <c r="D422" s="225"/>
      <c r="E422" s="225"/>
      <c r="F422" s="225"/>
      <c r="G422" s="225"/>
      <c r="H422" s="225"/>
      <c r="I422" s="100">
        <f>EOMONTH($G$19, $G$24)</f>
        <v>43465</v>
      </c>
      <c r="J422" s="100">
        <f t="shared" ref="J422:U422" si="91">EOMONTH(I422, $G$24)</f>
        <v>43830</v>
      </c>
      <c r="K422" s="100">
        <f t="shared" si="91"/>
        <v>44196</v>
      </c>
      <c r="L422" s="100">
        <f t="shared" si="91"/>
        <v>44561</v>
      </c>
      <c r="M422" s="100">
        <f t="shared" si="91"/>
        <v>44926</v>
      </c>
      <c r="N422" s="100">
        <f t="shared" si="91"/>
        <v>45291</v>
      </c>
      <c r="O422" s="100">
        <f t="shared" si="91"/>
        <v>45657</v>
      </c>
      <c r="P422" s="100">
        <f t="shared" si="91"/>
        <v>46022</v>
      </c>
      <c r="Q422" s="100">
        <f t="shared" si="91"/>
        <v>46387</v>
      </c>
      <c r="R422" s="100">
        <f t="shared" si="91"/>
        <v>46752</v>
      </c>
      <c r="S422" s="100">
        <f t="shared" si="91"/>
        <v>47118</v>
      </c>
      <c r="T422" s="100">
        <f t="shared" si="91"/>
        <v>47483</v>
      </c>
      <c r="U422" s="100">
        <f t="shared" si="91"/>
        <v>47848</v>
      </c>
      <c r="X422" s="141"/>
    </row>
    <row r="423" spans="2:24" x14ac:dyDescent="0.2">
      <c r="D423" s="225"/>
      <c r="E423" s="225"/>
      <c r="F423" s="180" t="s">
        <v>193</v>
      </c>
      <c r="G423" s="225"/>
      <c r="H423" s="225"/>
      <c r="I423" s="101">
        <f>EOMONTH($G$19, $G$24)</f>
        <v>43465</v>
      </c>
      <c r="J423" s="101">
        <f t="shared" ref="J423:U423" si="92">EOMONTH(I423, $G$24)</f>
        <v>43830</v>
      </c>
      <c r="K423" s="101">
        <f t="shared" si="92"/>
        <v>44196</v>
      </c>
      <c r="L423" s="101">
        <f t="shared" si="92"/>
        <v>44561</v>
      </c>
      <c r="M423" s="101">
        <f t="shared" si="92"/>
        <v>44926</v>
      </c>
      <c r="N423" s="101">
        <f t="shared" si="92"/>
        <v>45291</v>
      </c>
      <c r="O423" s="101">
        <f t="shared" si="92"/>
        <v>45657</v>
      </c>
      <c r="P423" s="101">
        <f t="shared" si="92"/>
        <v>46022</v>
      </c>
      <c r="Q423" s="101">
        <f t="shared" si="92"/>
        <v>46387</v>
      </c>
      <c r="R423" s="101">
        <f t="shared" si="92"/>
        <v>46752</v>
      </c>
      <c r="S423" s="101">
        <f t="shared" si="92"/>
        <v>47118</v>
      </c>
      <c r="T423" s="101">
        <f t="shared" si="92"/>
        <v>47483</v>
      </c>
      <c r="U423" s="101">
        <f t="shared" si="92"/>
        <v>47848</v>
      </c>
      <c r="X423" s="141"/>
    </row>
    <row r="424" spans="2:24" x14ac:dyDescent="0.2">
      <c r="X424" s="141"/>
    </row>
    <row r="425" spans="2:24" ht="5.0999999999999996" customHeight="1" x14ac:dyDescent="0.2">
      <c r="C425" s="35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36"/>
      <c r="X425" s="141"/>
    </row>
    <row r="426" spans="2:24" x14ac:dyDescent="0.2">
      <c r="C426" s="37"/>
      <c r="D426" s="2" t="s">
        <v>281</v>
      </c>
      <c r="V426" s="38"/>
      <c r="X426" s="141"/>
    </row>
    <row r="427" spans="2:24" ht="5.0999999999999996" customHeight="1" x14ac:dyDescent="0.2">
      <c r="C427" s="37"/>
      <c r="V427" s="38"/>
      <c r="X427" s="141"/>
    </row>
    <row r="428" spans="2:24" x14ac:dyDescent="0.2">
      <c r="C428" s="37"/>
      <c r="D428" s="1" t="s">
        <v>49</v>
      </c>
      <c r="F428" s="8" t="s">
        <v>205</v>
      </c>
      <c r="I428" s="105">
        <f>IF(AND(I$423&gt;$G$20, SUM($H$428:H$428)&lt;1), 1, 0)</f>
        <v>1</v>
      </c>
      <c r="J428" s="105">
        <f>IF(AND(J$423&gt;$G$20, SUM($H$428:I$428)&lt;1), 1, 0)</f>
        <v>0</v>
      </c>
      <c r="K428" s="105">
        <f>IF(AND(K$423&gt;$G$20, SUM($H$428:J$428)&lt;1), 1, 0)</f>
        <v>0</v>
      </c>
      <c r="L428" s="105">
        <f>IF(AND(L$423&gt;$G$20, SUM($H$428:K$428)&lt;1), 1, 0)</f>
        <v>0</v>
      </c>
      <c r="M428" s="105">
        <f>IF(AND(M$423&gt;$G$20, SUM($H$428:L$428)&lt;1), 1, 0)</f>
        <v>0</v>
      </c>
      <c r="N428" s="105">
        <f>IF(AND(N$423&gt;$G$20, SUM($H$428:M$428)&lt;1), 1, 0)</f>
        <v>0</v>
      </c>
      <c r="O428" s="105">
        <f>IF(AND(O$423&gt;$G$20, SUM($H$428:N$428)&lt;1), 1, 0)</f>
        <v>0</v>
      </c>
      <c r="P428" s="105">
        <f>IF(AND(P$423&gt;$G$20, SUM($H$428:O$428)&lt;1), 1, 0)</f>
        <v>0</v>
      </c>
      <c r="Q428" s="105">
        <f>IF(AND(Q$423&gt;$G$20, SUM($H$428:P$428)&lt;1), 1, 0)</f>
        <v>0</v>
      </c>
      <c r="R428" s="105">
        <f>IF(AND(R$423&gt;$G$20, SUM($H$428:Q$428)&lt;1), 1, 0)</f>
        <v>0</v>
      </c>
      <c r="S428" s="105">
        <f>IF(AND(S$423&gt;$G$20, SUM($H$428:R$428)&lt;1), 1, 0)</f>
        <v>0</v>
      </c>
      <c r="T428" s="105">
        <f>IF(AND(T$423&gt;$G$20, SUM($H$428:S$428)&lt;1), 1, 0)</f>
        <v>0</v>
      </c>
      <c r="U428" s="105">
        <f>IF(AND(U$423&gt;$G$20, SUM($H$428:T$428)&lt;1), 1, 0)</f>
        <v>0</v>
      </c>
      <c r="V428" s="38"/>
      <c r="X428" s="141"/>
    </row>
    <row r="429" spans="2:24" x14ac:dyDescent="0.2">
      <c r="C429" s="37"/>
      <c r="D429" s="1" t="s">
        <v>106</v>
      </c>
      <c r="F429" s="8" t="s">
        <v>205</v>
      </c>
      <c r="I429" s="105">
        <f>IF(AND(I$423&gt;$G$21, SUM($H$429:H$429)&lt;1), 1, 0)</f>
        <v>1</v>
      </c>
      <c r="J429" s="105">
        <f>IF(AND(J$423&gt;$G$21, SUM($H$429:I$429)&lt;1), 1, 0)</f>
        <v>0</v>
      </c>
      <c r="K429" s="105">
        <f>IF(AND(K$423&gt;$G$21, SUM($H$429:J$429)&lt;1), 1, 0)</f>
        <v>0</v>
      </c>
      <c r="L429" s="105">
        <f>IF(AND(L$423&gt;$G$21, SUM($H$429:K$429)&lt;1), 1, 0)</f>
        <v>0</v>
      </c>
      <c r="M429" s="105">
        <f>IF(AND(M$423&gt;$G$21, SUM($H$429:L$429)&lt;1), 1, 0)</f>
        <v>0</v>
      </c>
      <c r="N429" s="105">
        <f>IF(AND(N$423&gt;$G$21, SUM($H$429:M$429)&lt;1), 1, 0)</f>
        <v>0</v>
      </c>
      <c r="O429" s="105">
        <f>IF(AND(O$423&gt;$G$21, SUM($H$429:N$429)&lt;1), 1, 0)</f>
        <v>0</v>
      </c>
      <c r="P429" s="105">
        <f>IF(AND(P$423&gt;$G$21, SUM($H$429:O$429)&lt;1), 1, 0)</f>
        <v>0</v>
      </c>
      <c r="Q429" s="105">
        <f>IF(AND(Q$423&gt;$G$21, SUM($H$429:P$429)&lt;1), 1, 0)</f>
        <v>0</v>
      </c>
      <c r="R429" s="105">
        <f>IF(AND(R$423&gt;$G$21, SUM($H$429:Q$429)&lt;1), 1, 0)</f>
        <v>0</v>
      </c>
      <c r="S429" s="105">
        <f>IF(AND(S$423&gt;$G$21, SUM($H$429:R$429)&lt;1), 1, 0)</f>
        <v>0</v>
      </c>
      <c r="T429" s="105">
        <f>IF(AND(T$423&gt;$G$21, SUM($H$429:S$429)&lt;1), 1, 0)</f>
        <v>0</v>
      </c>
      <c r="U429" s="105">
        <f>IF(AND(U$423&gt;$G$21, SUM($H$429:T$429)&lt;1), 1, 0)</f>
        <v>0</v>
      </c>
      <c r="V429" s="38"/>
      <c r="X429" s="141"/>
    </row>
    <row r="430" spans="2:24" x14ac:dyDescent="0.2">
      <c r="C430" s="37"/>
      <c r="D430" s="1" t="s">
        <v>279</v>
      </c>
      <c r="F430" s="8" t="s">
        <v>26</v>
      </c>
      <c r="I430" s="233">
        <f>IF(I429=1, $G$21, 0)</f>
        <v>43100</v>
      </c>
      <c r="J430" s="233">
        <f t="shared" ref="J430:U430" si="93">IF(J429=1, $G$21, 0)</f>
        <v>0</v>
      </c>
      <c r="K430" s="233">
        <f t="shared" si="93"/>
        <v>0</v>
      </c>
      <c r="L430" s="233">
        <f t="shared" si="93"/>
        <v>0</v>
      </c>
      <c r="M430" s="233">
        <f t="shared" si="93"/>
        <v>0</v>
      </c>
      <c r="N430" s="233">
        <f t="shared" si="93"/>
        <v>0</v>
      </c>
      <c r="O430" s="233">
        <f t="shared" si="93"/>
        <v>0</v>
      </c>
      <c r="P430" s="233">
        <f t="shared" si="93"/>
        <v>0</v>
      </c>
      <c r="Q430" s="233">
        <f t="shared" si="93"/>
        <v>0</v>
      </c>
      <c r="R430" s="233">
        <f t="shared" si="93"/>
        <v>0</v>
      </c>
      <c r="S430" s="233">
        <f t="shared" si="93"/>
        <v>0</v>
      </c>
      <c r="T430" s="233">
        <f t="shared" si="93"/>
        <v>0</v>
      </c>
      <c r="U430" s="233">
        <f t="shared" si="93"/>
        <v>0</v>
      </c>
      <c r="V430" s="38"/>
      <c r="X430" s="141"/>
    </row>
    <row r="431" spans="2:24" x14ac:dyDescent="0.2">
      <c r="C431" s="37"/>
      <c r="F431" s="8"/>
      <c r="I431" s="233"/>
      <c r="J431" s="233"/>
      <c r="K431" s="233"/>
      <c r="L431" s="233"/>
      <c r="M431" s="233"/>
      <c r="N431" s="233"/>
      <c r="O431" s="233"/>
      <c r="P431" s="233"/>
      <c r="Q431" s="233"/>
      <c r="R431" s="233"/>
      <c r="S431" s="233"/>
      <c r="T431" s="233"/>
      <c r="U431" s="233"/>
      <c r="V431" s="38"/>
      <c r="X431" s="141"/>
    </row>
    <row r="432" spans="2:24" x14ac:dyDescent="0.2">
      <c r="C432" s="37"/>
      <c r="D432" s="2" t="s">
        <v>283</v>
      </c>
      <c r="F432" s="8"/>
      <c r="I432" s="233"/>
      <c r="J432" s="233"/>
      <c r="K432" s="233"/>
      <c r="L432" s="233"/>
      <c r="M432" s="233"/>
      <c r="N432" s="233"/>
      <c r="O432" s="233"/>
      <c r="P432" s="233"/>
      <c r="Q432" s="233"/>
      <c r="R432" s="233"/>
      <c r="S432" s="233"/>
      <c r="T432" s="233"/>
      <c r="U432" s="233"/>
      <c r="V432" s="38"/>
      <c r="X432" s="141"/>
    </row>
    <row r="433" spans="3:24" ht="5.0999999999999996" customHeight="1" x14ac:dyDescent="0.2">
      <c r="C433" s="37"/>
      <c r="F433" s="8"/>
      <c r="I433" s="233"/>
      <c r="J433" s="233"/>
      <c r="K433" s="233"/>
      <c r="L433" s="233"/>
      <c r="M433" s="233"/>
      <c r="N433" s="233"/>
      <c r="O433" s="233"/>
      <c r="P433" s="233"/>
      <c r="Q433" s="233"/>
      <c r="R433" s="233"/>
      <c r="S433" s="233"/>
      <c r="T433" s="233"/>
      <c r="U433" s="233"/>
      <c r="V433" s="38"/>
      <c r="X433" s="141"/>
    </row>
    <row r="434" spans="3:24" x14ac:dyDescent="0.2">
      <c r="C434" s="37"/>
      <c r="D434" s="1" t="s">
        <v>204</v>
      </c>
      <c r="F434" s="8" t="s">
        <v>100</v>
      </c>
      <c r="I434" s="146">
        <f>IFERROR(I$416/MAX($H$416:I$416), 0)</f>
        <v>1</v>
      </c>
      <c r="J434" s="146">
        <f>IFERROR(J$416/MAX($H$416:J$416), 0)</f>
        <v>0.5</v>
      </c>
      <c r="K434" s="146">
        <f>IFERROR(K$416/MAX($H$416:K$416), 0)</f>
        <v>0</v>
      </c>
      <c r="L434" s="146">
        <f>IFERROR(L$416/MAX($H$416:L$416), 0)</f>
        <v>0</v>
      </c>
      <c r="M434" s="146">
        <f>IFERROR(M$416/MAX($H$416:M$416), 0)</f>
        <v>0</v>
      </c>
      <c r="N434" s="146">
        <f>IFERROR(N$416/MAX($H$416:N$416), 0)</f>
        <v>0</v>
      </c>
      <c r="O434" s="146">
        <f>IFERROR(O$416/MAX($H$416:O$416), 0)</f>
        <v>0</v>
      </c>
      <c r="P434" s="146">
        <f>IFERROR(P$416/MAX($H$416:P$416), 0)</f>
        <v>0</v>
      </c>
      <c r="Q434" s="146">
        <f>IFERROR(Q$416/MAX($H$416:Q$416), 0)</f>
        <v>0</v>
      </c>
      <c r="R434" s="146">
        <f>IFERROR(R$416/MAX($H$416:R$416), 0)</f>
        <v>0</v>
      </c>
      <c r="S434" s="146">
        <f>IFERROR(S$416/MAX($H$416:S$416), 0)</f>
        <v>0</v>
      </c>
      <c r="T434" s="146">
        <f>IFERROR(T$416/MAX($H$416:T$416), 0)</f>
        <v>0</v>
      </c>
      <c r="U434" s="146">
        <f>IFERROR(U$416/MAX($H$416:U$416), 0)</f>
        <v>0</v>
      </c>
      <c r="V434" s="38"/>
      <c r="X434" s="141"/>
    </row>
    <row r="435" spans="3:24" x14ac:dyDescent="0.2">
      <c r="C435" s="37"/>
      <c r="D435" s="1" t="s">
        <v>101</v>
      </c>
      <c r="F435" s="8" t="s">
        <v>205</v>
      </c>
      <c r="I435" s="105">
        <f>IF(AND(SUM($H$416:I$416)&gt;0, SUM($H$435:H$435)&lt;1), 1, 0)</f>
        <v>1</v>
      </c>
      <c r="J435" s="105">
        <f>IF(AND(SUM($H$416:J$416)&gt;0, SUM($H$435:I$435)&lt;1), 1, 0)</f>
        <v>0</v>
      </c>
      <c r="K435" s="105">
        <f>IF(AND(SUM($H$416:K$416)&gt;0, SUM($H$435:J$435)&lt;1), 1, 0)</f>
        <v>0</v>
      </c>
      <c r="L435" s="105">
        <f>IF(AND(SUM($H$416:L$416)&gt;0, SUM($H$435:K$435)&lt;1), 1, 0)</f>
        <v>0</v>
      </c>
      <c r="M435" s="105">
        <f>IF(AND(SUM($H$416:M$416)&gt;0, SUM($H$435:L$435)&lt;1), 1, 0)</f>
        <v>0</v>
      </c>
      <c r="N435" s="105">
        <f>IF(AND(SUM($H$416:N$416)&gt;0, SUM($H$435:M$435)&lt;1), 1, 0)</f>
        <v>0</v>
      </c>
      <c r="O435" s="105">
        <f>IF(AND(SUM($H$416:O$416)&gt;0, SUM($H$435:N$435)&lt;1), 1, 0)</f>
        <v>0</v>
      </c>
      <c r="P435" s="105">
        <f>IF(AND(SUM($H$416:P$416)&gt;0, SUM($H$435:O$435)&lt;1), 1, 0)</f>
        <v>0</v>
      </c>
      <c r="Q435" s="105">
        <f>IF(AND(SUM($H$416:Q$416)&gt;0, SUM($H$435:P$435)&lt;1), 1, 0)</f>
        <v>0</v>
      </c>
      <c r="R435" s="105">
        <f>IF(AND(SUM($H$416:R$416)&gt;0, SUM($H$435:Q$435)&lt;1), 1, 0)</f>
        <v>0</v>
      </c>
      <c r="S435" s="105">
        <f>IF(AND(SUM($H$416:S$416)&gt;0, SUM($H$435:R$435)&lt;1), 1, 0)</f>
        <v>0</v>
      </c>
      <c r="T435" s="105">
        <f>IF(AND(SUM($H$416:T$416)&gt;0, SUM($H$435:S$435)&lt;1), 1, 0)</f>
        <v>0</v>
      </c>
      <c r="U435" s="105">
        <f>IF(AND(SUM($H$416:U$416)&gt;0, SUM($H$435:T$435)&lt;1), 1, 0)</f>
        <v>0</v>
      </c>
      <c r="V435" s="38"/>
      <c r="X435" s="141"/>
    </row>
    <row r="436" spans="3:24" x14ac:dyDescent="0.2">
      <c r="C436" s="37"/>
      <c r="D436" s="1" t="s">
        <v>289</v>
      </c>
      <c r="F436" s="8" t="s">
        <v>26</v>
      </c>
      <c r="I436" s="233">
        <f>IF(I435=1, $G$21, 0)</f>
        <v>43100</v>
      </c>
      <c r="J436" s="233">
        <f t="shared" ref="J436:U436" si="94">IF(J435=1, $G$21, 0)</f>
        <v>0</v>
      </c>
      <c r="K436" s="233">
        <f t="shared" si="94"/>
        <v>0</v>
      </c>
      <c r="L436" s="233">
        <f t="shared" si="94"/>
        <v>0</v>
      </c>
      <c r="M436" s="233">
        <f t="shared" si="94"/>
        <v>0</v>
      </c>
      <c r="N436" s="233">
        <f t="shared" si="94"/>
        <v>0</v>
      </c>
      <c r="O436" s="233">
        <f t="shared" si="94"/>
        <v>0</v>
      </c>
      <c r="P436" s="233">
        <f t="shared" si="94"/>
        <v>0</v>
      </c>
      <c r="Q436" s="233">
        <f t="shared" si="94"/>
        <v>0</v>
      </c>
      <c r="R436" s="233">
        <f t="shared" si="94"/>
        <v>0</v>
      </c>
      <c r="S436" s="233">
        <f t="shared" si="94"/>
        <v>0</v>
      </c>
      <c r="T436" s="233">
        <f t="shared" si="94"/>
        <v>0</v>
      </c>
      <c r="U436" s="233">
        <f t="shared" si="94"/>
        <v>0</v>
      </c>
      <c r="V436" s="38"/>
      <c r="X436" s="141"/>
    </row>
    <row r="437" spans="3:24" x14ac:dyDescent="0.2">
      <c r="C437" s="37"/>
      <c r="D437" s="1" t="s">
        <v>103</v>
      </c>
      <c r="F437" s="8" t="s">
        <v>100</v>
      </c>
      <c r="I437" s="108">
        <f>IF(OR(AND(SUM($H$438:I$438)&lt;1, SUM($H$435:I$435)&gt;0), I438=1), I$434, 0)</f>
        <v>1</v>
      </c>
      <c r="J437" s="108">
        <f>IF(OR(AND(SUM($H$438:J$438)&lt;1, SUM($H$435:J$435)&gt;0), J438=1), J$434, 0)</f>
        <v>0.5</v>
      </c>
      <c r="K437" s="108">
        <f>IF(OR(AND(SUM($H$438:K$438)&lt;1, SUM($H$435:K$435)&gt;0), K438=1), K$434, 0)</f>
        <v>0</v>
      </c>
      <c r="L437" s="108">
        <f>IF(OR(AND(SUM($H$438:L$438)&lt;1, SUM($H$435:L$435)&gt;0), L438=1), L$434, 0)</f>
        <v>0</v>
      </c>
      <c r="M437" s="108">
        <f>IF(OR(AND(SUM($H$438:M$438)&lt;1, SUM($H$435:M$435)&gt;0), M438=1), M$434, 0)</f>
        <v>0</v>
      </c>
      <c r="N437" s="108">
        <f>IF(OR(AND(SUM($H$438:N$438)&lt;1, SUM($H$435:N$435)&gt;0), N438=1), N$434, 0)</f>
        <v>0</v>
      </c>
      <c r="O437" s="108">
        <f>IF(OR(AND(SUM($H$438:O$438)&lt;1, SUM($H$435:O$435)&gt;0), O438=1), O$434, 0)</f>
        <v>0</v>
      </c>
      <c r="P437" s="108">
        <f>IF(OR(AND(SUM($H$438:P$438)&lt;1, SUM($H$435:P$435)&gt;0), P438=1), P$434, 0)</f>
        <v>0</v>
      </c>
      <c r="Q437" s="108">
        <f>IF(OR(AND(SUM($H$438:Q$438)&lt;1, SUM($H$435:Q$435)&gt;0), Q438=1), Q$434, 0)</f>
        <v>0</v>
      </c>
      <c r="R437" s="108">
        <f>IF(OR(AND(SUM($H$438:R$438)&lt;1, SUM($H$435:R$435)&gt;0), R438=1), R$434, 0)</f>
        <v>0</v>
      </c>
      <c r="S437" s="108">
        <f>IF(OR(AND(SUM($H$438:S$438)&lt;1, SUM($H$435:S$435)&gt;0), S438=1), S$434, 0)</f>
        <v>0</v>
      </c>
      <c r="T437" s="108">
        <f>IF(OR(AND(SUM($H$438:T$438)&lt;1, SUM($H$435:T$435)&gt;0), T438=1), T$434, 0)</f>
        <v>0</v>
      </c>
      <c r="U437" s="108">
        <f>IF(OR(AND(SUM($H$438:U$438)&lt;1, SUM($H$435:U$435)&gt;0), U438=1), U$434, 0)</f>
        <v>0</v>
      </c>
      <c r="V437" s="38"/>
      <c r="X437" s="141"/>
    </row>
    <row r="438" spans="3:24" x14ac:dyDescent="0.2">
      <c r="C438" s="37"/>
      <c r="D438" s="1" t="s">
        <v>102</v>
      </c>
      <c r="F438" s="8" t="s">
        <v>205</v>
      </c>
      <c r="I438" s="105">
        <f>IF(AND(SUM($H$416:I$416)=1, SUM($H$438:H$438)&lt;1), 1, 0)</f>
        <v>0</v>
      </c>
      <c r="J438" s="105">
        <f>IF(AND(SUM($H$416:J$416)=1, SUM($H$438:I$438)&lt;1), 1, 0)</f>
        <v>1</v>
      </c>
      <c r="K438" s="105">
        <f>IF(AND(SUM($H$416:K$416)=1, SUM($H$438:J$438)&lt;1), 1, 0)</f>
        <v>0</v>
      </c>
      <c r="L438" s="105">
        <f>IF(AND(SUM($H$416:L$416)=1, SUM($H$438:K$438)&lt;1), 1, 0)</f>
        <v>0</v>
      </c>
      <c r="M438" s="105">
        <f>IF(AND(SUM($H$416:M$416)=1, SUM($H$438:L$438)&lt;1), 1, 0)</f>
        <v>0</v>
      </c>
      <c r="N438" s="105">
        <f>IF(AND(SUM($H$416:N$416)=1, SUM($H$438:M$438)&lt;1), 1, 0)</f>
        <v>0</v>
      </c>
      <c r="O438" s="105">
        <f>IF(AND(SUM($H$416:O$416)=1, SUM($H$438:N$438)&lt;1), 1, 0)</f>
        <v>0</v>
      </c>
      <c r="P438" s="105">
        <f>IF(AND(SUM($H$416:P$416)=1, SUM($H$438:O$438)&lt;1), 1, 0)</f>
        <v>0</v>
      </c>
      <c r="Q438" s="105">
        <f>IF(AND(SUM($H$416:Q$416)=1, SUM($H$438:P$438)&lt;1), 1, 0)</f>
        <v>0</v>
      </c>
      <c r="R438" s="105">
        <f>IF(AND(SUM($H$416:R$416)=1, SUM($H$438:Q$438)&lt;1), 1, 0)</f>
        <v>0</v>
      </c>
      <c r="S438" s="105">
        <f>IF(AND(SUM($H$416:S$416)=1, SUM($H$438:R$438)&lt;1), 1, 0)</f>
        <v>0</v>
      </c>
      <c r="T438" s="105">
        <f>IF(AND(SUM($H$416:T$416)=1, SUM($H$438:S$438)&lt;1), 1, 0)</f>
        <v>0</v>
      </c>
      <c r="U438" s="105">
        <f>IF(AND(SUM($H$416:U$416)=1, SUM($H$438:T$438)&lt;1), 1, 0)</f>
        <v>0</v>
      </c>
      <c r="V438" s="38"/>
      <c r="X438" s="141"/>
    </row>
    <row r="439" spans="3:24" x14ac:dyDescent="0.2">
      <c r="C439" s="37"/>
      <c r="D439" s="1" t="s">
        <v>202</v>
      </c>
      <c r="F439" s="8" t="s">
        <v>26</v>
      </c>
      <c r="I439" s="233">
        <f t="shared" ref="I439:U439" si="95">IF(I438=1, I423-I467*(1-I437), 0)</f>
        <v>0</v>
      </c>
      <c r="J439" s="233">
        <f t="shared" si="95"/>
        <v>43647.5</v>
      </c>
      <c r="K439" s="233">
        <f t="shared" si="95"/>
        <v>0</v>
      </c>
      <c r="L439" s="233">
        <f t="shared" si="95"/>
        <v>0</v>
      </c>
      <c r="M439" s="233">
        <f t="shared" si="95"/>
        <v>0</v>
      </c>
      <c r="N439" s="233">
        <f t="shared" si="95"/>
        <v>0</v>
      </c>
      <c r="O439" s="233">
        <f t="shared" si="95"/>
        <v>0</v>
      </c>
      <c r="P439" s="233">
        <f t="shared" si="95"/>
        <v>0</v>
      </c>
      <c r="Q439" s="233">
        <f t="shared" si="95"/>
        <v>0</v>
      </c>
      <c r="R439" s="233">
        <f t="shared" si="95"/>
        <v>0</v>
      </c>
      <c r="S439" s="233">
        <f t="shared" si="95"/>
        <v>0</v>
      </c>
      <c r="T439" s="233">
        <f t="shared" si="95"/>
        <v>0</v>
      </c>
      <c r="U439" s="233">
        <f t="shared" si="95"/>
        <v>0</v>
      </c>
      <c r="V439" s="38"/>
      <c r="X439" s="141"/>
    </row>
    <row r="440" spans="3:24" x14ac:dyDescent="0.2">
      <c r="C440" s="37"/>
      <c r="F440" s="8"/>
      <c r="I440" s="233"/>
      <c r="J440" s="233"/>
      <c r="K440" s="233"/>
      <c r="L440" s="233"/>
      <c r="M440" s="233"/>
      <c r="N440" s="233"/>
      <c r="O440" s="233"/>
      <c r="P440" s="233"/>
      <c r="Q440" s="233"/>
      <c r="R440" s="233"/>
      <c r="S440" s="233"/>
      <c r="T440" s="233"/>
      <c r="U440" s="233"/>
      <c r="V440" s="38"/>
      <c r="X440" s="141"/>
    </row>
    <row r="441" spans="3:24" x14ac:dyDescent="0.2">
      <c r="C441" s="37"/>
      <c r="D441" s="2" t="s">
        <v>282</v>
      </c>
      <c r="F441" s="8"/>
      <c r="I441" s="233"/>
      <c r="J441" s="233"/>
      <c r="K441" s="233"/>
      <c r="L441" s="233"/>
      <c r="M441" s="233"/>
      <c r="N441" s="233"/>
      <c r="O441" s="233"/>
      <c r="P441" s="233"/>
      <c r="Q441" s="233"/>
      <c r="R441" s="233"/>
      <c r="S441" s="233"/>
      <c r="T441" s="233"/>
      <c r="U441" s="233"/>
      <c r="V441" s="38"/>
      <c r="X441" s="141"/>
    </row>
    <row r="442" spans="3:24" ht="5.0999999999999996" customHeight="1" x14ac:dyDescent="0.2">
      <c r="C442" s="37"/>
      <c r="F442" s="8"/>
      <c r="I442" s="233"/>
      <c r="J442" s="233"/>
      <c r="K442" s="233"/>
      <c r="L442" s="233"/>
      <c r="M442" s="233"/>
      <c r="N442" s="233"/>
      <c r="O442" s="233"/>
      <c r="P442" s="233"/>
      <c r="Q442" s="233"/>
      <c r="R442" s="233"/>
      <c r="S442" s="233"/>
      <c r="T442" s="233"/>
      <c r="U442" s="233"/>
      <c r="V442" s="38"/>
      <c r="X442" s="141"/>
    </row>
    <row r="443" spans="3:24" x14ac:dyDescent="0.2">
      <c r="C443" s="37"/>
      <c r="D443" s="1" t="s">
        <v>104</v>
      </c>
      <c r="F443" s="8" t="s">
        <v>205</v>
      </c>
      <c r="I443" s="105">
        <f t="shared" ref="I443:U443" si="96">IF(I438&gt;0, 1, 0)</f>
        <v>0</v>
      </c>
      <c r="J443" s="105">
        <f t="shared" si="96"/>
        <v>1</v>
      </c>
      <c r="K443" s="105">
        <f t="shared" si="96"/>
        <v>0</v>
      </c>
      <c r="L443" s="105">
        <f t="shared" si="96"/>
        <v>0</v>
      </c>
      <c r="M443" s="105">
        <f t="shared" si="96"/>
        <v>0</v>
      </c>
      <c r="N443" s="105">
        <f t="shared" si="96"/>
        <v>0</v>
      </c>
      <c r="O443" s="105">
        <f t="shared" si="96"/>
        <v>0</v>
      </c>
      <c r="P443" s="105">
        <f t="shared" si="96"/>
        <v>0</v>
      </c>
      <c r="Q443" s="105">
        <f t="shared" si="96"/>
        <v>0</v>
      </c>
      <c r="R443" s="105">
        <f t="shared" si="96"/>
        <v>0</v>
      </c>
      <c r="S443" s="105">
        <f t="shared" si="96"/>
        <v>0</v>
      </c>
      <c r="T443" s="105">
        <f t="shared" si="96"/>
        <v>0</v>
      </c>
      <c r="U443" s="105">
        <f t="shared" si="96"/>
        <v>0</v>
      </c>
      <c r="V443" s="38"/>
      <c r="X443" s="141"/>
    </row>
    <row r="444" spans="3:24" x14ac:dyDescent="0.2">
      <c r="C444" s="37"/>
      <c r="D444" s="1" t="s">
        <v>277</v>
      </c>
      <c r="F444" s="8" t="s">
        <v>26</v>
      </c>
      <c r="I444" s="105">
        <f>IF(I443=1, I439, 0)</f>
        <v>0</v>
      </c>
      <c r="J444" s="233">
        <f t="shared" ref="J444:U444" si="97">IF(J443=1, J439, 0)</f>
        <v>43647.5</v>
      </c>
      <c r="K444" s="105">
        <f t="shared" si="97"/>
        <v>0</v>
      </c>
      <c r="L444" s="105">
        <f t="shared" si="97"/>
        <v>0</v>
      </c>
      <c r="M444" s="105">
        <f t="shared" si="97"/>
        <v>0</v>
      </c>
      <c r="N444" s="105">
        <f t="shared" si="97"/>
        <v>0</v>
      </c>
      <c r="O444" s="105">
        <f t="shared" si="97"/>
        <v>0</v>
      </c>
      <c r="P444" s="105">
        <f t="shared" si="97"/>
        <v>0</v>
      </c>
      <c r="Q444" s="105">
        <f t="shared" si="97"/>
        <v>0</v>
      </c>
      <c r="R444" s="105">
        <f t="shared" si="97"/>
        <v>0</v>
      </c>
      <c r="S444" s="105">
        <f t="shared" si="97"/>
        <v>0</v>
      </c>
      <c r="T444" s="105">
        <f t="shared" si="97"/>
        <v>0</v>
      </c>
      <c r="U444" s="105">
        <f t="shared" si="97"/>
        <v>0</v>
      </c>
      <c r="V444" s="38"/>
      <c r="X444" s="141"/>
    </row>
    <row r="445" spans="3:24" x14ac:dyDescent="0.2">
      <c r="C445" s="37"/>
      <c r="D445" s="1" t="s">
        <v>105</v>
      </c>
      <c r="F445" s="8" t="s">
        <v>100</v>
      </c>
      <c r="I445" s="108">
        <f>IF(I448=1,1-((_xlfn.DAYS(I423,I449))/I467),IF(SUM($H$448:I$448)=1,0,IF(SUM($H$435:I$435)=1,1-I437,0)))</f>
        <v>0</v>
      </c>
      <c r="J445" s="108">
        <f>IF(J448=1,1-((_xlfn.DAYS(J423,J449))/J467),IF(SUM($H$448:J$448)=1,0,IF(SUM($H$435:J$435)=1,1-J437,0)))</f>
        <v>0.5</v>
      </c>
      <c r="K445" s="108">
        <f>IF(K448=1,1-((_xlfn.DAYS(K423,K449))/K467),IF(SUM($H$448:K$448)=1,0,IF(SUM($H$435:K$435)=1,1-K437,0)))</f>
        <v>1</v>
      </c>
      <c r="L445" s="108">
        <f>IF(L448=1,1-((_xlfn.DAYS(L423,L449))/L467),IF(SUM($H$448:L$448)=1,0,IF(SUM($H$435:L$435)=1,1-L437,0)))</f>
        <v>1</v>
      </c>
      <c r="M445" s="108">
        <f>IF(M448=1,1-((_xlfn.DAYS(M423,M449))/M467),IF(SUM($H$448:M$448)=1,0,IF(SUM($H$435:M$435)=1,1-M437,0)))</f>
        <v>1</v>
      </c>
      <c r="N445" s="108">
        <f>IF(N448=1,1-((_xlfn.DAYS(N423,N449))/N467),IF(SUM($H$448:N$448)=1,0,IF(SUM($H$435:N$435)=1,1-N437,0)))</f>
        <v>1</v>
      </c>
      <c r="O445" s="108">
        <f>IF(O448=1,1-((_xlfn.DAYS(O423,O449))/O467),IF(SUM($H$448:O$448)=1,0,IF(SUM($H$435:O$435)=1,1-O437,0)))</f>
        <v>1</v>
      </c>
      <c r="P445" s="108">
        <f>IF(P448=1,1-((_xlfn.DAYS(P423,P449))/P467),IF(SUM($H$448:P$448)=1,0,IF(SUM($H$435:P$435)=1,1-P437,0)))</f>
        <v>1</v>
      </c>
      <c r="Q445" s="108">
        <f>IF(Q448=1,1-((_xlfn.DAYS(Q423,Q449))/Q467),IF(SUM($H$448:Q$448)=1,0,IF(SUM($H$435:Q$435)=1,1-Q437,0)))</f>
        <v>1</v>
      </c>
      <c r="R445" s="108">
        <f>IF(R448=1,1-((_xlfn.DAYS(R423,R449))/R467),IF(SUM($H$448:R$448)=1,0,IF(SUM($H$435:R$435)=1,1-R437,0)))</f>
        <v>1</v>
      </c>
      <c r="S445" s="108">
        <f>IF(S448=1,1-((_xlfn.DAYS(S423,S449))/S467),IF(SUM($H$448:S$448)=1,0,IF(SUM($H$435:S$435)=1,1-S437,0)))</f>
        <v>0</v>
      </c>
      <c r="T445" s="108">
        <f>IF(T448=1,1-((_xlfn.DAYS(T423,T449))/T467),IF(SUM($H$448:T$448)=1,0,IF(SUM($H$435:T$435)=1,1-T437,0)))</f>
        <v>0</v>
      </c>
      <c r="U445" s="108">
        <f>IF(U448=1,1-((_xlfn.DAYS(U423,U449))/U467),IF(SUM($H$448:U$448)=1,0,IF(SUM($H$435:U$435)=1,1-U437,0)))</f>
        <v>0</v>
      </c>
      <c r="V445" s="38"/>
      <c r="X445" s="141"/>
    </row>
    <row r="446" spans="3:24" x14ac:dyDescent="0.2">
      <c r="C446" s="37"/>
      <c r="D446" s="1" t="s">
        <v>209</v>
      </c>
      <c r="F446" s="8" t="s">
        <v>222</v>
      </c>
      <c r="I446" s="105">
        <f>IF(I445=0, 0, H447+1)</f>
        <v>0</v>
      </c>
      <c r="J446" s="105">
        <f t="shared" ref="J446:U446" si="98">IF(J445=0, 0, I447+1)</f>
        <v>1</v>
      </c>
      <c r="K446" s="105">
        <f t="shared" si="98"/>
        <v>7</v>
      </c>
      <c r="L446" s="105">
        <f t="shared" si="98"/>
        <v>19</v>
      </c>
      <c r="M446" s="105">
        <f t="shared" si="98"/>
        <v>31</v>
      </c>
      <c r="N446" s="105">
        <f t="shared" si="98"/>
        <v>43</v>
      </c>
      <c r="O446" s="105">
        <f t="shared" si="98"/>
        <v>55</v>
      </c>
      <c r="P446" s="105">
        <f t="shared" si="98"/>
        <v>67</v>
      </c>
      <c r="Q446" s="105">
        <f t="shared" si="98"/>
        <v>79</v>
      </c>
      <c r="R446" s="105">
        <f t="shared" si="98"/>
        <v>91</v>
      </c>
      <c r="S446" s="105">
        <f t="shared" si="98"/>
        <v>0</v>
      </c>
      <c r="T446" s="105">
        <f t="shared" si="98"/>
        <v>0</v>
      </c>
      <c r="U446" s="105">
        <f t="shared" si="98"/>
        <v>0</v>
      </c>
      <c r="V446" s="38"/>
      <c r="X446" s="141"/>
    </row>
    <row r="447" spans="3:24" x14ac:dyDescent="0.2">
      <c r="C447" s="37"/>
      <c r="D447" s="1" t="s">
        <v>210</v>
      </c>
      <c r="F447" s="8" t="s">
        <v>222</v>
      </c>
      <c r="I447" s="105">
        <f>IF(I445=0, 0, SUM($H$445:I$445)*$G$134)</f>
        <v>0</v>
      </c>
      <c r="J447" s="105">
        <f>IF(J445=0, 0, SUM($H$445:J$445)*$G$134)</f>
        <v>6</v>
      </c>
      <c r="K447" s="105">
        <f>IF(K445=0, 0, SUM($H$445:K$445)*$G$134)</f>
        <v>18</v>
      </c>
      <c r="L447" s="105">
        <f>IF(L445=0, 0, SUM($H$445:L$445)*$G$134)</f>
        <v>30</v>
      </c>
      <c r="M447" s="105">
        <f>IF(M445=0, 0, SUM($H$445:M$445)*$G$134)</f>
        <v>42</v>
      </c>
      <c r="N447" s="105">
        <f>IF(N445=0, 0, SUM($H$445:N$445)*$G$134)</f>
        <v>54</v>
      </c>
      <c r="O447" s="105">
        <f>IF(O445=0, 0, SUM($H$445:O$445)*$G$134)</f>
        <v>66</v>
      </c>
      <c r="P447" s="105">
        <f>IF(P445=0, 0, SUM($H$445:P$445)*$G$134)</f>
        <v>78</v>
      </c>
      <c r="Q447" s="105">
        <f>IF(Q445=0, 0, SUM($H$445:Q$445)*$G$134)</f>
        <v>90</v>
      </c>
      <c r="R447" s="105">
        <f>IF(R445=0, 0, SUM($H$445:R$445)*$G$134)</f>
        <v>102</v>
      </c>
      <c r="S447" s="105">
        <f>IF(S445=0, 0, SUM($H$445:S$445)*$G$134)</f>
        <v>0</v>
      </c>
      <c r="T447" s="105">
        <f>IF(T445=0, 0, SUM($H$445:T$445)*$G$134)</f>
        <v>0</v>
      </c>
      <c r="U447" s="105">
        <f>IF(U445=0, 0, SUM($H$445:U$445)*$G$134)</f>
        <v>0</v>
      </c>
      <c r="V447" s="38"/>
      <c r="X447" s="141"/>
    </row>
    <row r="448" spans="3:24" x14ac:dyDescent="0.2">
      <c r="C448" s="37"/>
      <c r="D448" s="1" t="s">
        <v>267</v>
      </c>
      <c r="F448" s="8" t="s">
        <v>205</v>
      </c>
      <c r="I448" s="105">
        <f>IF(AND(I423&gt;=MIN($G$22, $G$136), SUM($H$448:H$448)&lt;1), 1, 0)</f>
        <v>0</v>
      </c>
      <c r="J448" s="105">
        <f>IF(AND(J423&gt;=MIN($G$22, $G$136), SUM($H$448:I$448)&lt;1), 1, 0)</f>
        <v>0</v>
      </c>
      <c r="K448" s="105">
        <f>IF(AND(K423&gt;=MIN($G$22, $G$136), SUM($H$448:J$448)&lt;1), 1, 0)</f>
        <v>0</v>
      </c>
      <c r="L448" s="105">
        <f>IF(AND(L423&gt;=MIN($G$22, $G$136), SUM($H$448:K$448)&lt;1), 1, 0)</f>
        <v>0</v>
      </c>
      <c r="M448" s="105">
        <f>IF(AND(M423&gt;=MIN($G$22, $G$136), SUM($H$448:L$448)&lt;1), 1, 0)</f>
        <v>0</v>
      </c>
      <c r="N448" s="105">
        <f>IF(AND(N423&gt;=MIN($G$22, $G$136), SUM($H$448:M$448)&lt;1), 1, 0)</f>
        <v>0</v>
      </c>
      <c r="O448" s="105">
        <f>IF(AND(O423&gt;=MIN($G$22, $G$136), SUM($H$448:N$448)&lt;1), 1, 0)</f>
        <v>0</v>
      </c>
      <c r="P448" s="105">
        <f>IF(AND(P423&gt;=MIN($G$22, $G$136), SUM($H$448:O$448)&lt;1), 1, 0)</f>
        <v>0</v>
      </c>
      <c r="Q448" s="105">
        <f>IF(AND(Q423&gt;=MIN($G$22, $G$136), SUM($H$448:P$448)&lt;1), 1, 0)</f>
        <v>0</v>
      </c>
      <c r="R448" s="105">
        <f>IF(AND(R423&gt;=MIN($G$22, $G$136), SUM($H$448:Q$448)&lt;1), 1, 0)</f>
        <v>1</v>
      </c>
      <c r="S448" s="105">
        <f>IF(AND(S423&gt;=MIN($G$22, $G$136), SUM($H$448:R$448)&lt;1), 1, 0)</f>
        <v>0</v>
      </c>
      <c r="T448" s="105">
        <f>IF(AND(T423&gt;=MIN($G$22, $G$136), SUM($H$448:S$448)&lt;1), 1, 0)</f>
        <v>0</v>
      </c>
      <c r="U448" s="105">
        <f>IF(AND(U423&gt;=MIN($G$22, $G$136), SUM($H$448:T$448)&lt;1), 1, 0)</f>
        <v>0</v>
      </c>
      <c r="V448" s="38"/>
      <c r="X448" s="141"/>
    </row>
    <row r="449" spans="3:24" x14ac:dyDescent="0.2">
      <c r="C449" s="37"/>
      <c r="D449" s="1" t="s">
        <v>268</v>
      </c>
      <c r="F449" s="8" t="s">
        <v>26</v>
      </c>
      <c r="I449" s="233">
        <f t="shared" ref="I449:Q449" si="99">IF(I448=1, $G$136, 0)</f>
        <v>0</v>
      </c>
      <c r="J449" s="233">
        <f t="shared" si="99"/>
        <v>0</v>
      </c>
      <c r="K449" s="233">
        <f t="shared" si="99"/>
        <v>0</v>
      </c>
      <c r="L449" s="233">
        <f t="shared" si="99"/>
        <v>0</v>
      </c>
      <c r="M449" s="233">
        <f t="shared" si="99"/>
        <v>0</v>
      </c>
      <c r="N449" s="233">
        <f t="shared" si="99"/>
        <v>0</v>
      </c>
      <c r="O449" s="233">
        <f t="shared" si="99"/>
        <v>0</v>
      </c>
      <c r="P449" s="233">
        <f t="shared" si="99"/>
        <v>0</v>
      </c>
      <c r="Q449" s="233">
        <f t="shared" si="99"/>
        <v>0</v>
      </c>
      <c r="R449" s="233">
        <f>IF(R448=1, MIN($G$22, $G$136), 0)</f>
        <v>46752</v>
      </c>
      <c r="S449" s="233">
        <f>IF(S448=1, $G$136, 0)</f>
        <v>0</v>
      </c>
      <c r="T449" s="233">
        <f>IF(T448=1, $G$136, 0)</f>
        <v>0</v>
      </c>
      <c r="U449" s="233">
        <f>IF(U448=1, $G$136, 0)</f>
        <v>0</v>
      </c>
      <c r="V449" s="38"/>
      <c r="X449" s="141"/>
    </row>
    <row r="450" spans="3:24" x14ac:dyDescent="0.2">
      <c r="C450" s="37"/>
      <c r="F450" s="8"/>
      <c r="I450" s="233"/>
      <c r="J450" s="233"/>
      <c r="K450" s="233"/>
      <c r="L450" s="233"/>
      <c r="M450" s="233"/>
      <c r="N450" s="233"/>
      <c r="O450" s="233"/>
      <c r="P450" s="233"/>
      <c r="Q450" s="233"/>
      <c r="R450" s="233"/>
      <c r="S450" s="233"/>
      <c r="T450" s="233"/>
      <c r="U450" s="233"/>
      <c r="V450" s="38"/>
      <c r="X450" s="141"/>
    </row>
    <row r="451" spans="3:24" x14ac:dyDescent="0.2">
      <c r="C451" s="37"/>
      <c r="D451" s="2" t="s">
        <v>284</v>
      </c>
      <c r="F451" s="8"/>
      <c r="I451" s="233"/>
      <c r="J451" s="233"/>
      <c r="K451" s="233"/>
      <c r="L451" s="233"/>
      <c r="M451" s="233"/>
      <c r="N451" s="233"/>
      <c r="O451" s="233"/>
      <c r="P451" s="233"/>
      <c r="Q451" s="233"/>
      <c r="R451" s="233"/>
      <c r="S451" s="233"/>
      <c r="T451" s="233"/>
      <c r="U451" s="233"/>
      <c r="V451" s="38"/>
      <c r="X451" s="141"/>
    </row>
    <row r="452" spans="3:24" ht="5.0999999999999996" customHeight="1" x14ac:dyDescent="0.2">
      <c r="C452" s="37"/>
      <c r="F452" s="8"/>
      <c r="I452" s="233"/>
      <c r="J452" s="233"/>
      <c r="K452" s="233"/>
      <c r="L452" s="233"/>
      <c r="M452" s="233"/>
      <c r="N452" s="233"/>
      <c r="O452" s="233"/>
      <c r="P452" s="233"/>
      <c r="Q452" s="233"/>
      <c r="R452" s="233"/>
      <c r="S452" s="233"/>
      <c r="T452" s="233"/>
      <c r="U452" s="233"/>
      <c r="V452" s="38"/>
      <c r="X452" s="141"/>
    </row>
    <row r="453" spans="3:24" x14ac:dyDescent="0.2">
      <c r="C453" s="37"/>
      <c r="D453" s="1" t="s">
        <v>107</v>
      </c>
      <c r="F453" s="8" t="s">
        <v>205</v>
      </c>
      <c r="I453" s="105">
        <f>IF(AND(I$423&gt;=$G$22, SUM($H453:H453)&lt;1), 1, 0)</f>
        <v>0</v>
      </c>
      <c r="J453" s="105">
        <f>IF(AND(J$423&gt;=$G$22, SUM($H453:I453)&lt;1), 1, 0)</f>
        <v>0</v>
      </c>
      <c r="K453" s="105">
        <f>IF(AND(K$423&gt;=$G$22, SUM($H453:J453)&lt;1), 1, 0)</f>
        <v>0</v>
      </c>
      <c r="L453" s="105">
        <f>IF(AND(L$423&gt;=$G$22, SUM($H453:K453)&lt;1), 1, 0)</f>
        <v>0</v>
      </c>
      <c r="M453" s="105">
        <f>IF(AND(M$423&gt;=$G$22, SUM($H453:L453)&lt;1), 1, 0)</f>
        <v>0</v>
      </c>
      <c r="N453" s="105">
        <f>IF(AND(N$423&gt;=$G$22, SUM($H453:M453)&lt;1), 1, 0)</f>
        <v>0</v>
      </c>
      <c r="O453" s="105">
        <f>IF(AND(O$423&gt;=$G$22, SUM($H453:N453)&lt;1), 1, 0)</f>
        <v>0</v>
      </c>
      <c r="P453" s="105">
        <f>IF(AND(P$423&gt;=$G$22, SUM($H453:O453)&lt;1), 1, 0)</f>
        <v>0</v>
      </c>
      <c r="Q453" s="105">
        <f>IF(AND(Q$423&gt;=$G$22, SUM($H453:P453)&lt;1), 1, 0)</f>
        <v>0</v>
      </c>
      <c r="R453" s="105">
        <f>IF(AND(R$423&gt;=$G$22, SUM($H453:Q453)&lt;1), 1, 0)</f>
        <v>1</v>
      </c>
      <c r="S453" s="105">
        <f>IF(AND(S$423&gt;=$G$22, SUM($H453:R453)&lt;1), 1, 0)</f>
        <v>0</v>
      </c>
      <c r="T453" s="105">
        <f>IF(AND(T$423&gt;=$G$22, SUM($H453:S453)&lt;1), 1, 0)</f>
        <v>0</v>
      </c>
      <c r="U453" s="105">
        <f>IF(AND(U$423&gt;=$G$22, SUM($H453:T453)&lt;1), 1, 0)</f>
        <v>0</v>
      </c>
      <c r="V453" s="38"/>
      <c r="X453" s="141"/>
    </row>
    <row r="454" spans="3:24" x14ac:dyDescent="0.2">
      <c r="C454" s="37"/>
      <c r="D454" s="1" t="s">
        <v>269</v>
      </c>
      <c r="F454" s="8" t="s">
        <v>26</v>
      </c>
      <c r="I454" s="233">
        <f t="shared" ref="I454:U454" si="100">IF(I453=1, $G$22, 0)</f>
        <v>0</v>
      </c>
      <c r="J454" s="233">
        <f t="shared" si="100"/>
        <v>0</v>
      </c>
      <c r="K454" s="233">
        <f t="shared" si="100"/>
        <v>0</v>
      </c>
      <c r="L454" s="233">
        <f t="shared" si="100"/>
        <v>0</v>
      </c>
      <c r="M454" s="233">
        <f t="shared" si="100"/>
        <v>0</v>
      </c>
      <c r="N454" s="233">
        <f t="shared" si="100"/>
        <v>0</v>
      </c>
      <c r="O454" s="233">
        <f t="shared" si="100"/>
        <v>0</v>
      </c>
      <c r="P454" s="233">
        <f t="shared" si="100"/>
        <v>0</v>
      </c>
      <c r="Q454" s="233">
        <f t="shared" si="100"/>
        <v>0</v>
      </c>
      <c r="R454" s="233">
        <f t="shared" si="100"/>
        <v>46752</v>
      </c>
      <c r="S454" s="233">
        <f t="shared" si="100"/>
        <v>0</v>
      </c>
      <c r="T454" s="233">
        <f t="shared" si="100"/>
        <v>0</v>
      </c>
      <c r="U454" s="233">
        <f t="shared" si="100"/>
        <v>0</v>
      </c>
      <c r="V454" s="38"/>
      <c r="X454" s="141"/>
    </row>
    <row r="455" spans="3:24" x14ac:dyDescent="0.2">
      <c r="C455" s="37"/>
      <c r="F455" s="8"/>
      <c r="I455" s="233"/>
      <c r="J455" s="233"/>
      <c r="K455" s="233"/>
      <c r="L455" s="233"/>
      <c r="M455" s="233"/>
      <c r="N455" s="233"/>
      <c r="O455" s="233"/>
      <c r="P455" s="233"/>
      <c r="Q455" s="233"/>
      <c r="R455" s="233"/>
      <c r="S455" s="233"/>
      <c r="T455" s="233"/>
      <c r="U455" s="233"/>
      <c r="V455" s="38"/>
      <c r="X455" s="141"/>
    </row>
    <row r="456" spans="3:24" x14ac:dyDescent="0.2">
      <c r="C456" s="37"/>
      <c r="D456" s="2" t="s">
        <v>285</v>
      </c>
      <c r="F456" s="8"/>
      <c r="I456" s="233"/>
      <c r="J456" s="233"/>
      <c r="K456" s="233"/>
      <c r="L456" s="233"/>
      <c r="M456" s="233"/>
      <c r="N456" s="233"/>
      <c r="O456" s="233"/>
      <c r="P456" s="233"/>
      <c r="Q456" s="233"/>
      <c r="R456" s="233"/>
      <c r="S456" s="233"/>
      <c r="T456" s="233"/>
      <c r="U456" s="233"/>
      <c r="V456" s="38"/>
      <c r="X456" s="141"/>
    </row>
    <row r="457" spans="3:24" ht="5.0999999999999996" customHeight="1" x14ac:dyDescent="0.2">
      <c r="C457" s="37"/>
      <c r="F457" s="8"/>
      <c r="I457" s="233"/>
      <c r="J457" s="233"/>
      <c r="K457" s="233"/>
      <c r="L457" s="233"/>
      <c r="M457" s="233"/>
      <c r="N457" s="233"/>
      <c r="O457" s="233"/>
      <c r="P457" s="233"/>
      <c r="Q457" s="233"/>
      <c r="R457" s="233"/>
      <c r="S457" s="233"/>
      <c r="T457" s="233"/>
      <c r="U457" s="233"/>
      <c r="V457" s="38"/>
      <c r="X457" s="141"/>
    </row>
    <row r="458" spans="3:24" x14ac:dyDescent="0.2">
      <c r="C458" s="37"/>
      <c r="D458" s="1" t="s">
        <v>270</v>
      </c>
      <c r="F458" s="8" t="s">
        <v>100</v>
      </c>
      <c r="I458" s="108">
        <f>IF(SUM($H453:H453)=0, IF(I429=1, 1-_xlfn.DAYS(I423, I430)/I467, IF(I453=1, _xlfn.DAYS(I423, I454)/I467, 0)), 100%)</f>
        <v>0</v>
      </c>
      <c r="J458" s="108">
        <f>IF(SUM($H453:I453)=0, IF(J429=1, 1-_xlfn.DAYS(J423, J430)/J467, IF(J453=1, _xlfn.DAYS(J423, J454)/J467, 0)), 100%)</f>
        <v>0</v>
      </c>
      <c r="K458" s="108">
        <f>IF(SUM($H453:J453)=0, IF(K429=1, 1-_xlfn.DAYS(K423, K430)/K467, IF(K453=1, _xlfn.DAYS(K423, K454)/K467, 0)), 100%)</f>
        <v>0</v>
      </c>
      <c r="L458" s="108">
        <f>IF(SUM($H453:K453)=0, IF(L429=1, 1-_xlfn.DAYS(L423, L430)/L467, IF(L453=1, _xlfn.DAYS(L423, L454)/L467, 0)), 100%)</f>
        <v>0</v>
      </c>
      <c r="M458" s="108">
        <f>IF(SUM($H453:L453)=0, IF(M429=1, 1-_xlfn.DAYS(M423, M430)/M467, IF(M453=1, _xlfn.DAYS(M423, M454)/M467, 0)), 100%)</f>
        <v>0</v>
      </c>
      <c r="N458" s="108">
        <f>IF(SUM($H453:M453)=0, IF(N429=1, 1-_xlfn.DAYS(N423, N430)/N467, IF(N453=1, _xlfn.DAYS(N423, N454)/N467, 0)), 100%)</f>
        <v>0</v>
      </c>
      <c r="O458" s="108">
        <f>IF(SUM($H453:N453)=0, IF(O429=1, 1-_xlfn.DAYS(O423, O430)/O467, IF(O453=1, _xlfn.DAYS(O423, O454)/O467, 0)), 100%)</f>
        <v>0</v>
      </c>
      <c r="P458" s="108">
        <f>IF(SUM($H453:O453)=0, IF(P429=1, 1-_xlfn.DAYS(P423, P430)/P467, IF(P453=1, _xlfn.DAYS(P423, P454)/P467, 0)), 100%)</f>
        <v>0</v>
      </c>
      <c r="Q458" s="108">
        <f>IF(SUM($H453:P453)=0, IF(Q429=1, 1-_xlfn.DAYS(Q423, Q430)/Q467, IF(Q453=1, _xlfn.DAYS(Q423, Q454)/Q467, 0)), 100%)</f>
        <v>0</v>
      </c>
      <c r="R458" s="108">
        <f>IF(SUM($H453:Q453)=0, IF(R429=1, 1-_xlfn.DAYS(R423, R430)/R467, IF(R453=1, _xlfn.DAYS(R423, R454)/R467, 0)), 100%)</f>
        <v>0</v>
      </c>
      <c r="S458" s="108">
        <f>IF(SUM($H453:R453)=0, IF(S429=1, 1-_xlfn.DAYS(S423, S430)/S467, IF(S453=1, _xlfn.DAYS(S423, S454)/S467, 0)), 100%)</f>
        <v>1</v>
      </c>
      <c r="T458" s="108">
        <f>IF(SUM($H453:S453)=0, IF(T429=1, 1-_xlfn.DAYS(T423, T430)/T467, IF(T453=1, _xlfn.DAYS(T423, T454)/T467, 0)), 100%)</f>
        <v>1</v>
      </c>
      <c r="U458" s="108">
        <f>IF(SUM($H453:T453)=0, IF(U429=1, 1-_xlfn.DAYS(U423, U430)/U467, IF(U453=1, _xlfn.DAYS(U423, U454)/U467, 0)), 100%)</f>
        <v>1</v>
      </c>
      <c r="V458" s="38"/>
      <c r="X458" s="141"/>
    </row>
    <row r="459" spans="3:24" x14ac:dyDescent="0.2">
      <c r="C459" s="37"/>
      <c r="D459" s="1" t="s">
        <v>232</v>
      </c>
      <c r="F459" s="8" t="s">
        <v>100</v>
      </c>
      <c r="I459" s="108">
        <f>1-I458</f>
        <v>1</v>
      </c>
      <c r="J459" s="108">
        <f t="shared" ref="J459:U459" si="101">1-J458</f>
        <v>1</v>
      </c>
      <c r="K459" s="108">
        <f t="shared" si="101"/>
        <v>1</v>
      </c>
      <c r="L459" s="108">
        <f t="shared" si="101"/>
        <v>1</v>
      </c>
      <c r="M459" s="108">
        <f t="shared" si="101"/>
        <v>1</v>
      </c>
      <c r="N459" s="108">
        <f t="shared" si="101"/>
        <v>1</v>
      </c>
      <c r="O459" s="108">
        <f t="shared" si="101"/>
        <v>1</v>
      </c>
      <c r="P459" s="108">
        <f t="shared" si="101"/>
        <v>1</v>
      </c>
      <c r="Q459" s="108">
        <f t="shared" si="101"/>
        <v>1</v>
      </c>
      <c r="R459" s="108">
        <f t="shared" si="101"/>
        <v>1</v>
      </c>
      <c r="S459" s="108">
        <f t="shared" si="101"/>
        <v>0</v>
      </c>
      <c r="T459" s="108">
        <f t="shared" si="101"/>
        <v>0</v>
      </c>
      <c r="U459" s="108">
        <f t="shared" si="101"/>
        <v>0</v>
      </c>
      <c r="V459" s="38"/>
      <c r="X459" s="141"/>
    </row>
    <row r="460" spans="3:24" x14ac:dyDescent="0.2">
      <c r="C460" s="37"/>
      <c r="D460" s="1" t="s">
        <v>233</v>
      </c>
      <c r="F460" s="8" t="s">
        <v>100</v>
      </c>
      <c r="G460" s="8"/>
      <c r="H460" s="8"/>
      <c r="I460" s="146">
        <f>IF(SUM($H$434:I$434)&gt;0, 1-I$434, 0)</f>
        <v>0</v>
      </c>
      <c r="J460" s="146">
        <f>IF(SUM($H$434:J$434)&gt;0, 1-J$434, 0)</f>
        <v>0.5</v>
      </c>
      <c r="K460" s="146">
        <f>IF(SUM($H$434:K$434)&gt;0, 1-K$434, 0)</f>
        <v>1</v>
      </c>
      <c r="L460" s="146">
        <f>IF(SUM($H$434:L$434)&gt;0, 1-L$434, 0)</f>
        <v>1</v>
      </c>
      <c r="M460" s="146">
        <f>IF(SUM($H$434:M$434)&gt;0, 1-M$434, 0)</f>
        <v>1</v>
      </c>
      <c r="N460" s="146">
        <f>IF(SUM($H$434:N$434)&gt;0, 1-N$434, 0)</f>
        <v>1</v>
      </c>
      <c r="O460" s="146">
        <f>IF(SUM($H$434:O$434)&gt;0, 1-O$434, 0)</f>
        <v>1</v>
      </c>
      <c r="P460" s="146">
        <f>IF(SUM($H$434:P$434)&gt;0, 1-P$434, 0)</f>
        <v>1</v>
      </c>
      <c r="Q460" s="146">
        <f>IF(SUM($H$434:Q$434)&gt;0, 1-Q$434, 0)</f>
        <v>1</v>
      </c>
      <c r="R460" s="146">
        <f>IF(SUM($H$434:R$434)&gt;0, 1-R$434, 0)</f>
        <v>1</v>
      </c>
      <c r="S460" s="146">
        <f>IF(SUM($H$434:S$434)&gt;0, 1-S$434, 0)</f>
        <v>1</v>
      </c>
      <c r="T460" s="146">
        <f>IF(SUM($H$434:T$434)&gt;0, 1-T$434, 0)</f>
        <v>1</v>
      </c>
      <c r="U460" s="146">
        <f>IF(SUM($H$434:U$434)&gt;0, 1-U$434, 0)</f>
        <v>1</v>
      </c>
      <c r="V460" s="38"/>
      <c r="X460" s="141"/>
    </row>
    <row r="461" spans="3:24" x14ac:dyDescent="0.2">
      <c r="C461" s="37"/>
      <c r="D461" s="1" t="s">
        <v>234</v>
      </c>
      <c r="F461" s="8" t="s">
        <v>100</v>
      </c>
      <c r="G461" s="8"/>
      <c r="H461" s="8"/>
      <c r="I461" s="146">
        <f>MIN(I459, I460)</f>
        <v>0</v>
      </c>
      <c r="J461" s="146">
        <f t="shared" ref="J461:U461" si="102">MIN(J459, J460)</f>
        <v>0.5</v>
      </c>
      <c r="K461" s="146">
        <f t="shared" si="102"/>
        <v>1</v>
      </c>
      <c r="L461" s="146">
        <f t="shared" si="102"/>
        <v>1</v>
      </c>
      <c r="M461" s="146">
        <f t="shared" si="102"/>
        <v>1</v>
      </c>
      <c r="N461" s="146">
        <f t="shared" si="102"/>
        <v>1</v>
      </c>
      <c r="O461" s="146">
        <f t="shared" si="102"/>
        <v>1</v>
      </c>
      <c r="P461" s="146">
        <f t="shared" si="102"/>
        <v>1</v>
      </c>
      <c r="Q461" s="146">
        <f t="shared" si="102"/>
        <v>1</v>
      </c>
      <c r="R461" s="146">
        <f t="shared" si="102"/>
        <v>1</v>
      </c>
      <c r="S461" s="146">
        <f t="shared" si="102"/>
        <v>0</v>
      </c>
      <c r="T461" s="146">
        <f t="shared" si="102"/>
        <v>0</v>
      </c>
      <c r="U461" s="146">
        <f t="shared" si="102"/>
        <v>0</v>
      </c>
      <c r="V461" s="38"/>
      <c r="X461" s="141"/>
    </row>
    <row r="462" spans="3:24" ht="5.0999999999999996" customHeight="1" x14ac:dyDescent="0.2">
      <c r="C462" s="39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40"/>
      <c r="X462" s="141"/>
    </row>
    <row r="463" spans="3:24" x14ac:dyDescent="0.2">
      <c r="X463" s="141"/>
    </row>
    <row r="464" spans="3:24" ht="5.0999999999999996" customHeight="1" x14ac:dyDescent="0.2">
      <c r="C464" s="35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36"/>
      <c r="X464" s="141"/>
    </row>
    <row r="465" spans="3:24" x14ac:dyDescent="0.2">
      <c r="C465" s="37"/>
      <c r="D465" s="2" t="s">
        <v>137</v>
      </c>
      <c r="V465" s="38"/>
      <c r="X465" s="141"/>
    </row>
    <row r="466" spans="3:24" ht="5.0999999999999996" customHeight="1" x14ac:dyDescent="0.2">
      <c r="C466" s="37"/>
      <c r="V466" s="38"/>
      <c r="X466" s="141"/>
    </row>
    <row r="467" spans="3:24" x14ac:dyDescent="0.2">
      <c r="C467" s="37"/>
      <c r="D467" s="1" t="s">
        <v>33</v>
      </c>
      <c r="F467" s="8" t="s">
        <v>34</v>
      </c>
      <c r="G467" s="8"/>
      <c r="H467" s="8"/>
      <c r="I467" s="341">
        <f>I423-G19</f>
        <v>365</v>
      </c>
      <c r="J467" s="106">
        <f>J423-I423</f>
        <v>365</v>
      </c>
      <c r="K467" s="106">
        <f t="shared" ref="K467:U467" si="103">K423-J423</f>
        <v>366</v>
      </c>
      <c r="L467" s="106">
        <f t="shared" si="103"/>
        <v>365</v>
      </c>
      <c r="M467" s="106">
        <f t="shared" si="103"/>
        <v>365</v>
      </c>
      <c r="N467" s="106">
        <f t="shared" si="103"/>
        <v>365</v>
      </c>
      <c r="O467" s="106">
        <f t="shared" si="103"/>
        <v>366</v>
      </c>
      <c r="P467" s="106">
        <f t="shared" si="103"/>
        <v>365</v>
      </c>
      <c r="Q467" s="106">
        <f t="shared" si="103"/>
        <v>365</v>
      </c>
      <c r="R467" s="106">
        <f t="shared" si="103"/>
        <v>365</v>
      </c>
      <c r="S467" s="106">
        <f t="shared" si="103"/>
        <v>366</v>
      </c>
      <c r="T467" s="106">
        <f t="shared" si="103"/>
        <v>365</v>
      </c>
      <c r="U467" s="106">
        <f t="shared" si="103"/>
        <v>365</v>
      </c>
      <c r="V467" s="38"/>
      <c r="X467" s="141"/>
    </row>
    <row r="468" spans="3:24" x14ac:dyDescent="0.2">
      <c r="C468" s="37"/>
      <c r="D468" s="1" t="s">
        <v>275</v>
      </c>
      <c r="F468" s="8" t="s">
        <v>34</v>
      </c>
      <c r="G468" s="8"/>
      <c r="H468" s="8"/>
      <c r="I468" s="107">
        <f t="shared" ref="I468:U468" si="104">I$467*$G$12*I461</f>
        <v>0</v>
      </c>
      <c r="J468" s="107">
        <f t="shared" si="104"/>
        <v>54750</v>
      </c>
      <c r="K468" s="107">
        <f t="shared" si="104"/>
        <v>109800</v>
      </c>
      <c r="L468" s="107">
        <f t="shared" si="104"/>
        <v>109500</v>
      </c>
      <c r="M468" s="107">
        <f t="shared" si="104"/>
        <v>109500</v>
      </c>
      <c r="N468" s="107">
        <f t="shared" si="104"/>
        <v>109500</v>
      </c>
      <c r="O468" s="107">
        <f t="shared" si="104"/>
        <v>109800</v>
      </c>
      <c r="P468" s="107">
        <f t="shared" si="104"/>
        <v>109500</v>
      </c>
      <c r="Q468" s="107">
        <f t="shared" si="104"/>
        <v>109500</v>
      </c>
      <c r="R468" s="107">
        <f t="shared" si="104"/>
        <v>109500</v>
      </c>
      <c r="S468" s="107">
        <f t="shared" si="104"/>
        <v>0</v>
      </c>
      <c r="T468" s="107">
        <f t="shared" si="104"/>
        <v>0</v>
      </c>
      <c r="U468" s="107">
        <f t="shared" si="104"/>
        <v>0</v>
      </c>
      <c r="V468" s="38"/>
      <c r="X468" s="141"/>
    </row>
    <row r="469" spans="3:24" x14ac:dyDescent="0.2">
      <c r="C469" s="37"/>
      <c r="D469" s="1" t="s">
        <v>36</v>
      </c>
      <c r="F469" s="8" t="s">
        <v>32</v>
      </c>
      <c r="G469" s="8"/>
      <c r="H469" s="8"/>
      <c r="I469" s="108">
        <f t="shared" ref="I469:U469" si="105">IF(I461&gt;0, I184*I194, 0)</f>
        <v>0</v>
      </c>
      <c r="J469" s="108">
        <f t="shared" si="105"/>
        <v>0.77500000000000002</v>
      </c>
      <c r="K469" s="108">
        <f t="shared" si="105"/>
        <v>0.77500000000000002</v>
      </c>
      <c r="L469" s="108">
        <f t="shared" si="105"/>
        <v>0.77500000000000002</v>
      </c>
      <c r="M469" s="108">
        <f t="shared" si="105"/>
        <v>0.77500000000000002</v>
      </c>
      <c r="N469" s="108">
        <f t="shared" si="105"/>
        <v>0.77500000000000002</v>
      </c>
      <c r="O469" s="108">
        <f t="shared" si="105"/>
        <v>0.77500000000000002</v>
      </c>
      <c r="P469" s="108">
        <f t="shared" si="105"/>
        <v>0.77500000000000002</v>
      </c>
      <c r="Q469" s="108">
        <f t="shared" si="105"/>
        <v>0.77500000000000002</v>
      </c>
      <c r="R469" s="108">
        <f t="shared" si="105"/>
        <v>0.77500000000000002</v>
      </c>
      <c r="S469" s="108">
        <f t="shared" si="105"/>
        <v>0</v>
      </c>
      <c r="T469" s="108">
        <f t="shared" si="105"/>
        <v>0</v>
      </c>
      <c r="U469" s="108">
        <f t="shared" si="105"/>
        <v>0</v>
      </c>
      <c r="V469" s="38"/>
      <c r="X469" s="141"/>
    </row>
    <row r="470" spans="3:24" x14ac:dyDescent="0.2">
      <c r="C470" s="37"/>
      <c r="D470" s="1" t="s">
        <v>276</v>
      </c>
      <c r="F470" s="8" t="s">
        <v>34</v>
      </c>
      <c r="G470" s="8"/>
      <c r="H470" s="8"/>
      <c r="I470" s="107">
        <f>I468*I469</f>
        <v>0</v>
      </c>
      <c r="J470" s="107">
        <f t="shared" ref="J470:R470" si="106">J468*J469</f>
        <v>42431.25</v>
      </c>
      <c r="K470" s="107">
        <f t="shared" si="106"/>
        <v>85095</v>
      </c>
      <c r="L470" s="107">
        <f t="shared" si="106"/>
        <v>84862.5</v>
      </c>
      <c r="M470" s="107">
        <f t="shared" si="106"/>
        <v>84862.5</v>
      </c>
      <c r="N470" s="107">
        <f t="shared" si="106"/>
        <v>84862.5</v>
      </c>
      <c r="O470" s="107">
        <f t="shared" si="106"/>
        <v>85095</v>
      </c>
      <c r="P470" s="107">
        <f t="shared" si="106"/>
        <v>84862.5</v>
      </c>
      <c r="Q470" s="107">
        <f t="shared" si="106"/>
        <v>84862.5</v>
      </c>
      <c r="R470" s="107">
        <f t="shared" si="106"/>
        <v>84862.5</v>
      </c>
      <c r="S470" s="107">
        <f>S468*S469</f>
        <v>0</v>
      </c>
      <c r="T470" s="107">
        <f>T468*T469</f>
        <v>0</v>
      </c>
      <c r="U470" s="107">
        <f>U468*U469</f>
        <v>0</v>
      </c>
      <c r="V470" s="38"/>
      <c r="X470" s="141"/>
    </row>
    <row r="471" spans="3:24" x14ac:dyDescent="0.2">
      <c r="C471" s="37"/>
      <c r="D471" s="1" t="s">
        <v>138</v>
      </c>
      <c r="F471" s="8" t="s">
        <v>273</v>
      </c>
      <c r="G471" s="9"/>
      <c r="H471" s="9"/>
      <c r="I471" s="31">
        <f t="shared" ref="I471:U471" si="107">IF(I468=0, 0, I214*I204)</f>
        <v>0</v>
      </c>
      <c r="J471" s="31">
        <f t="shared" si="107"/>
        <v>204</v>
      </c>
      <c r="K471" s="31">
        <f t="shared" si="107"/>
        <v>208.08</v>
      </c>
      <c r="L471" s="31">
        <f t="shared" si="107"/>
        <v>212.24160000000001</v>
      </c>
      <c r="M471" s="31">
        <f t="shared" si="107"/>
        <v>216.48643200000001</v>
      </c>
      <c r="N471" s="31">
        <f t="shared" si="107"/>
        <v>220.81616064000002</v>
      </c>
      <c r="O471" s="31">
        <f t="shared" si="107"/>
        <v>225.23248385280002</v>
      </c>
      <c r="P471" s="31">
        <f t="shared" si="107"/>
        <v>229.73713352985601</v>
      </c>
      <c r="Q471" s="31">
        <f t="shared" si="107"/>
        <v>234.33187620045314</v>
      </c>
      <c r="R471" s="31">
        <f t="shared" si="107"/>
        <v>239.0185137244622</v>
      </c>
      <c r="S471" s="31">
        <f t="shared" si="107"/>
        <v>0</v>
      </c>
      <c r="T471" s="31">
        <f t="shared" si="107"/>
        <v>0</v>
      </c>
      <c r="U471" s="31">
        <f t="shared" si="107"/>
        <v>0</v>
      </c>
      <c r="V471" s="38"/>
      <c r="X471" s="141"/>
    </row>
    <row r="472" spans="3:24" x14ac:dyDescent="0.2">
      <c r="C472" s="37"/>
      <c r="D472" s="1" t="s">
        <v>139</v>
      </c>
      <c r="F472" s="8" t="s">
        <v>274</v>
      </c>
      <c r="G472" s="8"/>
      <c r="H472" s="8"/>
      <c r="I472" s="31">
        <f t="shared" ref="I472:T472" si="108">IFERROR(I516/I468, 0)</f>
        <v>0</v>
      </c>
      <c r="J472" s="31">
        <f t="shared" si="108"/>
        <v>158.1</v>
      </c>
      <c r="K472" s="31">
        <f t="shared" si="108"/>
        <v>161.262</v>
      </c>
      <c r="L472" s="31">
        <f t="shared" si="108"/>
        <v>164.48724000000001</v>
      </c>
      <c r="M472" s="31">
        <f t="shared" si="108"/>
        <v>167.77698480000001</v>
      </c>
      <c r="N472" s="31">
        <f t="shared" si="108"/>
        <v>171.132524496</v>
      </c>
      <c r="O472" s="31">
        <f t="shared" si="108"/>
        <v>174.55517498591999</v>
      </c>
      <c r="P472" s="31">
        <f t="shared" si="108"/>
        <v>178.0462784856384</v>
      </c>
      <c r="Q472" s="31">
        <f t="shared" si="108"/>
        <v>181.60720405535116</v>
      </c>
      <c r="R472" s="31">
        <f t="shared" si="108"/>
        <v>185.23934813645818</v>
      </c>
      <c r="S472" s="31">
        <f t="shared" si="108"/>
        <v>0</v>
      </c>
      <c r="T472" s="31">
        <f t="shared" si="108"/>
        <v>0</v>
      </c>
      <c r="U472" s="31">
        <f>IFERROR(U516/U468, 0)</f>
        <v>0</v>
      </c>
      <c r="V472" s="38"/>
      <c r="X472" s="141"/>
    </row>
    <row r="473" spans="3:24" x14ac:dyDescent="0.2">
      <c r="C473" s="37"/>
      <c r="D473" s="1" t="s">
        <v>302</v>
      </c>
      <c r="F473" s="8" t="s">
        <v>39</v>
      </c>
      <c r="G473" s="8"/>
      <c r="H473" s="8"/>
      <c r="I473" s="116">
        <f ca="1">SUM(H473, I573)</f>
        <v>6654393.4318984784</v>
      </c>
      <c r="J473" s="116">
        <f t="shared" ref="J473:U473" ca="1" si="109">SUM(I473, J573)</f>
        <v>1622850.6297867931</v>
      </c>
      <c r="K473" s="116">
        <f t="shared" ca="1" si="109"/>
        <v>5008096.2370403595</v>
      </c>
      <c r="L473" s="116">
        <f t="shared" ca="1" si="109"/>
        <v>8495739.4077304266</v>
      </c>
      <c r="M473" s="116">
        <f t="shared" ca="1" si="109"/>
        <v>12107994.639967822</v>
      </c>
      <c r="N473" s="116">
        <f t="shared" ca="1" si="109"/>
        <v>15847354.174983494</v>
      </c>
      <c r="O473" s="116">
        <f t="shared" ca="1" si="109"/>
        <v>19737760.999674216</v>
      </c>
      <c r="P473" s="116">
        <f t="shared" ca="1" si="109"/>
        <v>23739006.240134247</v>
      </c>
      <c r="Q473" s="116">
        <f t="shared" ca="1" si="109"/>
        <v>27875135.583537009</v>
      </c>
      <c r="R473" s="116">
        <f t="shared" ca="1" si="109"/>
        <v>1.7765164375305176E-4</v>
      </c>
      <c r="S473" s="116">
        <f t="shared" ca="1" si="109"/>
        <v>1.7765164375305176E-4</v>
      </c>
      <c r="T473" s="116">
        <f t="shared" ca="1" si="109"/>
        <v>1.7765164375305176E-4</v>
      </c>
      <c r="U473" s="116">
        <f t="shared" ca="1" si="109"/>
        <v>1.7765164375305176E-4</v>
      </c>
      <c r="V473" s="38"/>
      <c r="X473" s="141"/>
    </row>
    <row r="474" spans="3:24" ht="5.0999999999999996" customHeight="1" x14ac:dyDescent="0.2">
      <c r="C474" s="39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40"/>
      <c r="X474" s="141"/>
    </row>
    <row r="475" spans="3:24" x14ac:dyDescent="0.2">
      <c r="X475" s="141"/>
    </row>
    <row r="476" spans="3:24" ht="5.0999999999999996" customHeight="1" x14ac:dyDescent="0.2">
      <c r="C476" s="35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36"/>
      <c r="X476" s="141"/>
    </row>
    <row r="477" spans="3:24" x14ac:dyDescent="0.2">
      <c r="C477" s="37"/>
      <c r="D477" s="2" t="str">
        <f>D112&amp;" Schedule"</f>
        <v>Construction Loan (Interest Only) Schedule</v>
      </c>
      <c r="E477" s="2"/>
      <c r="V477" s="38"/>
      <c r="X477" s="141"/>
    </row>
    <row r="478" spans="3:24" ht="5.0999999999999996" customHeight="1" x14ac:dyDescent="0.2">
      <c r="C478" s="37"/>
      <c r="V478" s="38"/>
      <c r="X478" s="141"/>
    </row>
    <row r="479" spans="3:24" x14ac:dyDescent="0.2">
      <c r="C479" s="37"/>
      <c r="D479" s="1" t="s">
        <v>92</v>
      </c>
      <c r="I479" s="110">
        <f ca="1">IF(SUM($H$435:I$435)=1, $G$115*I416, 0)</f>
        <v>32904670.94073008</v>
      </c>
      <c r="J479" s="110">
        <f ca="1">IF(SUM($H$435:J$435)=1, $G$115*J416, 0)</f>
        <v>16452335.47036504</v>
      </c>
      <c r="K479" s="110">
        <f ca="1">IF(SUM($H$435:K$435)=1, $G$115*K416, 0)</f>
        <v>0</v>
      </c>
      <c r="L479" s="110">
        <f ca="1">IF(SUM($H$435:L$435)=1, $G$115*L416, 0)</f>
        <v>0</v>
      </c>
      <c r="M479" s="110">
        <f ca="1">IF(SUM($H$435:M$435)=1, $G$115*M416, 0)</f>
        <v>0</v>
      </c>
      <c r="N479" s="110">
        <f ca="1">IF(SUM($H$435:N$435)=1, $G$115*N416, 0)</f>
        <v>0</v>
      </c>
      <c r="O479" s="110">
        <f ca="1">IF(SUM($H$435:O$435)=1, $G$115*O416, 0)</f>
        <v>0</v>
      </c>
      <c r="P479" s="110">
        <f ca="1">IF(SUM($H$435:P$435)=1, $G$115*P416, 0)</f>
        <v>0</v>
      </c>
      <c r="Q479" s="110">
        <f ca="1">IF(SUM($H$435:Q$435)=1, $G$115*Q416, 0)</f>
        <v>0</v>
      </c>
      <c r="R479" s="110">
        <f ca="1">IF(SUM($H$435:R$435)=1, $G$115*R416, 0)</f>
        <v>0</v>
      </c>
      <c r="S479" s="110">
        <f ca="1">IF(SUM($H$435:S$435)=1, $G$115*S416, 0)</f>
        <v>0</v>
      </c>
      <c r="T479" s="110">
        <f ca="1">IF(SUM($H$435:T$435)=1, $G$115*T416, 0)</f>
        <v>0</v>
      </c>
      <c r="U479" s="110">
        <f ca="1">IF(SUM($H$435:U$435)=1, $G$115*U416, 0)</f>
        <v>0</v>
      </c>
      <c r="V479" s="38"/>
      <c r="X479" s="141"/>
    </row>
    <row r="480" spans="3:24" x14ac:dyDescent="0.2">
      <c r="C480" s="37"/>
      <c r="D480" s="1" t="s">
        <v>84</v>
      </c>
      <c r="I480" s="110">
        <f ca="1">SUM(H483, I479)</f>
        <v>32904670.94073008</v>
      </c>
      <c r="J480" s="110">
        <f t="shared" ref="J480:U480" ca="1" si="110">SUM(I483, J479)</f>
        <v>49357006.41109512</v>
      </c>
      <c r="K480" s="110">
        <f t="shared" ca="1" si="110"/>
        <v>0</v>
      </c>
      <c r="L480" s="110">
        <f t="shared" ca="1" si="110"/>
        <v>0</v>
      </c>
      <c r="M480" s="110">
        <f t="shared" ca="1" si="110"/>
        <v>0</v>
      </c>
      <c r="N480" s="110">
        <f t="shared" ca="1" si="110"/>
        <v>0</v>
      </c>
      <c r="O480" s="110">
        <f t="shared" ca="1" si="110"/>
        <v>0</v>
      </c>
      <c r="P480" s="110">
        <f t="shared" ca="1" si="110"/>
        <v>0</v>
      </c>
      <c r="Q480" s="110">
        <f t="shared" ca="1" si="110"/>
        <v>-6.7055225372314453E-8</v>
      </c>
      <c r="R480" s="110">
        <f t="shared" ca="1" si="110"/>
        <v>-2.4586915969848633E-7</v>
      </c>
      <c r="S480" s="110">
        <f t="shared" ca="1" si="110"/>
        <v>-1.0877847671508789E-6</v>
      </c>
      <c r="T480" s="110">
        <f t="shared" ca="1" si="110"/>
        <v>-4.3213367462158203E-6</v>
      </c>
      <c r="U480" s="110">
        <f t="shared" ca="1" si="110"/>
        <v>-1.5586614608764648E-5</v>
      </c>
      <c r="V480" s="38"/>
      <c r="X480" s="141"/>
    </row>
    <row r="481" spans="3:24" x14ac:dyDescent="0.2">
      <c r="C481" s="37"/>
      <c r="D481" s="1" t="s">
        <v>86</v>
      </c>
      <c r="I481" s="110">
        <f t="shared" ref="I481:U481" ca="1" si="111">I480*$G$118*I437</f>
        <v>1233925.1602773783</v>
      </c>
      <c r="J481" s="110">
        <f t="shared" ca="1" si="111"/>
        <v>925443.87020803359</v>
      </c>
      <c r="K481" s="110">
        <f t="shared" ca="1" si="111"/>
        <v>0</v>
      </c>
      <c r="L481" s="110">
        <f t="shared" ca="1" si="111"/>
        <v>0</v>
      </c>
      <c r="M481" s="110">
        <f t="shared" ca="1" si="111"/>
        <v>0</v>
      </c>
      <c r="N481" s="110">
        <f t="shared" ca="1" si="111"/>
        <v>0</v>
      </c>
      <c r="O481" s="110">
        <f t="shared" ca="1" si="111"/>
        <v>0</v>
      </c>
      <c r="P481" s="110">
        <f t="shared" ca="1" si="111"/>
        <v>0</v>
      </c>
      <c r="Q481" s="110">
        <f t="shared" ca="1" si="111"/>
        <v>0</v>
      </c>
      <c r="R481" s="110">
        <f t="shared" ca="1" si="111"/>
        <v>0</v>
      </c>
      <c r="S481" s="110">
        <f t="shared" ca="1" si="111"/>
        <v>0</v>
      </c>
      <c r="T481" s="110">
        <f t="shared" ca="1" si="111"/>
        <v>0</v>
      </c>
      <c r="U481" s="110">
        <f t="shared" ca="1" si="111"/>
        <v>0</v>
      </c>
      <c r="V481" s="38"/>
      <c r="X481" s="141"/>
    </row>
    <row r="482" spans="3:24" x14ac:dyDescent="0.2">
      <c r="C482" s="37"/>
      <c r="D482" s="1" t="s">
        <v>224</v>
      </c>
      <c r="I482" s="110">
        <f t="shared" ref="I482:U482" si="112">IF(I438=1, -$G$115, 0)</f>
        <v>0</v>
      </c>
      <c r="J482" s="110">
        <f t="shared" ca="1" si="112"/>
        <v>-49357006.41109512</v>
      </c>
      <c r="K482" s="110">
        <f t="shared" si="112"/>
        <v>0</v>
      </c>
      <c r="L482" s="110">
        <f t="shared" si="112"/>
        <v>0</v>
      </c>
      <c r="M482" s="110">
        <f t="shared" si="112"/>
        <v>0</v>
      </c>
      <c r="N482" s="110">
        <f t="shared" si="112"/>
        <v>0</v>
      </c>
      <c r="O482" s="110">
        <f t="shared" si="112"/>
        <v>0</v>
      </c>
      <c r="P482" s="110">
        <f t="shared" si="112"/>
        <v>0</v>
      </c>
      <c r="Q482" s="110">
        <f t="shared" si="112"/>
        <v>0</v>
      </c>
      <c r="R482" s="110">
        <f t="shared" si="112"/>
        <v>0</v>
      </c>
      <c r="S482" s="110">
        <f t="shared" si="112"/>
        <v>0</v>
      </c>
      <c r="T482" s="110">
        <f t="shared" si="112"/>
        <v>0</v>
      </c>
      <c r="U482" s="110">
        <f t="shared" si="112"/>
        <v>0</v>
      </c>
      <c r="V482" s="38"/>
      <c r="X482" s="141"/>
    </row>
    <row r="483" spans="3:24" x14ac:dyDescent="0.2">
      <c r="C483" s="37"/>
      <c r="D483" s="3" t="s">
        <v>85</v>
      </c>
      <c r="E483" s="3"/>
      <c r="F483" s="3"/>
      <c r="G483" s="3"/>
      <c r="H483" s="3"/>
      <c r="I483" s="261">
        <f ca="1">SUM(I480, I482)</f>
        <v>32904670.94073008</v>
      </c>
      <c r="J483" s="261">
        <f t="shared" ref="J483:T483" ca="1" si="113">SUM(J480, J482)</f>
        <v>0</v>
      </c>
      <c r="K483" s="261">
        <f t="shared" ca="1" si="113"/>
        <v>0</v>
      </c>
      <c r="L483" s="261">
        <f t="shared" ca="1" si="113"/>
        <v>0</v>
      </c>
      <c r="M483" s="261">
        <f t="shared" ca="1" si="113"/>
        <v>0</v>
      </c>
      <c r="N483" s="261">
        <f t="shared" ca="1" si="113"/>
        <v>0</v>
      </c>
      <c r="O483" s="261">
        <f t="shared" ca="1" si="113"/>
        <v>0</v>
      </c>
      <c r="P483" s="261">
        <f t="shared" ca="1" si="113"/>
        <v>0</v>
      </c>
      <c r="Q483" s="261">
        <f t="shared" ca="1" si="113"/>
        <v>-6.7055225372314453E-8</v>
      </c>
      <c r="R483" s="261">
        <f t="shared" ca="1" si="113"/>
        <v>-2.4586915969848633E-7</v>
      </c>
      <c r="S483" s="261">
        <f t="shared" ca="1" si="113"/>
        <v>-1.0877847671508789E-6</v>
      </c>
      <c r="T483" s="261">
        <f t="shared" ca="1" si="113"/>
        <v>-4.3213367462158203E-6</v>
      </c>
      <c r="U483" s="261">
        <f ca="1">SUM(U480, U482)</f>
        <v>-1.5586614608764648E-5</v>
      </c>
      <c r="V483" s="38"/>
      <c r="X483" s="141"/>
    </row>
    <row r="484" spans="3:24" ht="5.0999999999999996" customHeight="1" x14ac:dyDescent="0.2">
      <c r="C484" s="39"/>
      <c r="D484" s="24"/>
      <c r="E484" s="24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40"/>
      <c r="X484" s="141"/>
    </row>
    <row r="485" spans="3:24" x14ac:dyDescent="0.2">
      <c r="X485" s="141"/>
    </row>
    <row r="486" spans="3:24" ht="5.0999999999999996" customHeight="1" x14ac:dyDescent="0.2">
      <c r="C486" s="35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36"/>
      <c r="X486" s="141"/>
    </row>
    <row r="487" spans="3:24" x14ac:dyDescent="0.2">
      <c r="C487" s="37"/>
      <c r="D487" s="2" t="str">
        <f>D129&amp;" Schedule"</f>
        <v>Permanent Loan Schedule</v>
      </c>
      <c r="E487" s="2"/>
      <c r="K487" s="110"/>
      <c r="L487" s="110"/>
      <c r="M487" s="110"/>
      <c r="N487" s="110"/>
      <c r="O487" s="110"/>
      <c r="P487" s="110"/>
      <c r="Q487" s="110"/>
      <c r="R487" s="110"/>
      <c r="S487" s="110"/>
      <c r="V487" s="38"/>
      <c r="X487" s="141"/>
    </row>
    <row r="488" spans="3:24" ht="5.0999999999999996" customHeight="1" x14ac:dyDescent="0.2">
      <c r="C488" s="37"/>
      <c r="V488" s="38"/>
      <c r="X488" s="141"/>
    </row>
    <row r="489" spans="3:24" x14ac:dyDescent="0.2">
      <c r="C489" s="37"/>
      <c r="D489" s="1" t="s">
        <v>92</v>
      </c>
      <c r="I489" s="110">
        <f t="shared" ref="I489:U489" si="114">IF(I443=1, $G$132, 0)</f>
        <v>0</v>
      </c>
      <c r="J489" s="110">
        <f t="shared" ca="1" si="114"/>
        <v>49357006.41109512</v>
      </c>
      <c r="K489" s="110">
        <f t="shared" si="114"/>
        <v>0</v>
      </c>
      <c r="L489" s="110">
        <f t="shared" si="114"/>
        <v>0</v>
      </c>
      <c r="M489" s="110">
        <f t="shared" si="114"/>
        <v>0</v>
      </c>
      <c r="N489" s="110">
        <f t="shared" si="114"/>
        <v>0</v>
      </c>
      <c r="O489" s="110">
        <f t="shared" si="114"/>
        <v>0</v>
      </c>
      <c r="P489" s="110">
        <f t="shared" si="114"/>
        <v>0</v>
      </c>
      <c r="Q489" s="110">
        <f t="shared" si="114"/>
        <v>0</v>
      </c>
      <c r="R489" s="110">
        <f t="shared" si="114"/>
        <v>0</v>
      </c>
      <c r="S489" s="110">
        <f t="shared" si="114"/>
        <v>0</v>
      </c>
      <c r="T489" s="110">
        <f t="shared" si="114"/>
        <v>0</v>
      </c>
      <c r="U489" s="110">
        <f t="shared" si="114"/>
        <v>0</v>
      </c>
      <c r="V489" s="38"/>
      <c r="X489" s="141"/>
    </row>
    <row r="490" spans="3:24" x14ac:dyDescent="0.2">
      <c r="C490" s="37"/>
      <c r="D490" s="1" t="s">
        <v>84</v>
      </c>
      <c r="I490" s="110">
        <f>SUM(H495, I489)</f>
        <v>0</v>
      </c>
      <c r="J490" s="110">
        <f t="shared" ref="J490:U490" ca="1" si="115">SUM(I495, J489)</f>
        <v>49357006.41109512</v>
      </c>
      <c r="K490" s="110">
        <f t="shared" ca="1" si="115"/>
        <v>48907471.117589325</v>
      </c>
      <c r="L490" s="110">
        <f t="shared" ca="1" si="115"/>
        <v>47982755.26641053</v>
      </c>
      <c r="M490" s="110">
        <f t="shared" ca="1" si="115"/>
        <v>47022760.310257651</v>
      </c>
      <c r="N490" s="110">
        <f t="shared" ca="1" si="115"/>
        <v>46026140.305675536</v>
      </c>
      <c r="O490" s="110">
        <f t="shared" ca="1" si="115"/>
        <v>44991497.95972649</v>
      </c>
      <c r="P490" s="110">
        <f t="shared" ca="1" si="115"/>
        <v>43917382.670941189</v>
      </c>
      <c r="Q490" s="110">
        <f t="shared" ca="1" si="115"/>
        <v>42802288.495529212</v>
      </c>
      <c r="R490" s="110">
        <f t="shared" ca="1" si="115"/>
        <v>41644652.035997987</v>
      </c>
      <c r="S490" s="110">
        <f t="shared" ca="1" si="115"/>
        <v>0</v>
      </c>
      <c r="T490" s="110">
        <f t="shared" ca="1" si="115"/>
        <v>0</v>
      </c>
      <c r="U490" s="110">
        <f t="shared" ca="1" si="115"/>
        <v>0</v>
      </c>
      <c r="V490" s="38"/>
      <c r="X490" s="141"/>
    </row>
    <row r="491" spans="3:24" x14ac:dyDescent="0.2">
      <c r="C491" s="37"/>
      <c r="D491" s="1" t="s">
        <v>97</v>
      </c>
      <c r="I491" s="110">
        <f t="shared" ref="I491:U491" ca="1" si="116">$G$140*I$445</f>
        <v>0</v>
      </c>
      <c r="J491" s="110">
        <f t="shared" ca="1" si="116"/>
        <v>1371479.953338217</v>
      </c>
      <c r="K491" s="110">
        <f t="shared" ca="1" si="116"/>
        <v>2742959.906676434</v>
      </c>
      <c r="L491" s="110">
        <f t="shared" ca="1" si="116"/>
        <v>2742959.906676434</v>
      </c>
      <c r="M491" s="110">
        <f t="shared" ca="1" si="116"/>
        <v>2742959.906676434</v>
      </c>
      <c r="N491" s="110">
        <f t="shared" ca="1" si="116"/>
        <v>2742959.906676434</v>
      </c>
      <c r="O491" s="110">
        <f t="shared" ca="1" si="116"/>
        <v>2742959.906676434</v>
      </c>
      <c r="P491" s="110">
        <f t="shared" ca="1" si="116"/>
        <v>2742959.906676434</v>
      </c>
      <c r="Q491" s="110">
        <f t="shared" ca="1" si="116"/>
        <v>2742959.906676434</v>
      </c>
      <c r="R491" s="110">
        <f t="shared" ca="1" si="116"/>
        <v>2742959.906676434</v>
      </c>
      <c r="S491" s="110">
        <f t="shared" ca="1" si="116"/>
        <v>0</v>
      </c>
      <c r="T491" s="110">
        <f t="shared" ca="1" si="116"/>
        <v>0</v>
      </c>
      <c r="U491" s="110">
        <f t="shared" ca="1" si="116"/>
        <v>0</v>
      </c>
      <c r="V491" s="38"/>
      <c r="X491" s="141"/>
    </row>
    <row r="492" spans="3:24" x14ac:dyDescent="0.2">
      <c r="C492" s="37"/>
      <c r="D492" s="1" t="s">
        <v>98</v>
      </c>
      <c r="I492" s="110">
        <f t="shared" ref="I492:U492" ca="1" si="117">IFERROR(-CUMIPMT($G$133/$G$134, $G$139*$G$134, $G$132, I$446, I$447, 0), 0)</f>
        <v>0</v>
      </c>
      <c r="J492" s="110">
        <f t="shared" ca="1" si="117"/>
        <v>921944.65983241913</v>
      </c>
      <c r="K492" s="110">
        <f t="shared" ca="1" si="117"/>
        <v>1818244.0554976379</v>
      </c>
      <c r="L492" s="110">
        <f t="shared" ca="1" si="117"/>
        <v>1782964.9505235553</v>
      </c>
      <c r="M492" s="110">
        <f t="shared" ca="1" si="117"/>
        <v>1746339.9020943176</v>
      </c>
      <c r="N492" s="110">
        <f t="shared" ca="1" si="117"/>
        <v>1708317.5607273967</v>
      </c>
      <c r="O492" s="110">
        <f t="shared" ca="1" si="117"/>
        <v>1668844.6178911333</v>
      </c>
      <c r="P492" s="110">
        <f t="shared" ca="1" si="117"/>
        <v>1627865.7312644818</v>
      </c>
      <c r="Q492" s="110">
        <f t="shared" ca="1" si="117"/>
        <v>1585323.4471453142</v>
      </c>
      <c r="R492" s="110">
        <f t="shared" ca="1" si="117"/>
        <v>1541158.1198985046</v>
      </c>
      <c r="S492" s="110">
        <f t="shared" ca="1" si="117"/>
        <v>0</v>
      </c>
      <c r="T492" s="110">
        <f t="shared" ca="1" si="117"/>
        <v>0</v>
      </c>
      <c r="U492" s="110">
        <f t="shared" ca="1" si="117"/>
        <v>0</v>
      </c>
      <c r="V492" s="38"/>
      <c r="X492" s="141"/>
    </row>
    <row r="493" spans="3:24" x14ac:dyDescent="0.2">
      <c r="C493" s="37"/>
      <c r="D493" s="1" t="s">
        <v>99</v>
      </c>
      <c r="I493" s="110">
        <f t="shared" ref="I493:U493" ca="1" si="118">IFERROR(CUMPRINC($G$133/$G$134, $G$139*$G$134, $G$132, I$446, I$447, 0), 0)</f>
        <v>0</v>
      </c>
      <c r="J493" s="110">
        <f t="shared" ca="1" si="118"/>
        <v>-449535.29350579792</v>
      </c>
      <c r="K493" s="110">
        <f t="shared" ca="1" si="118"/>
        <v>-924715.85117879603</v>
      </c>
      <c r="L493" s="110">
        <f t="shared" ca="1" si="118"/>
        <v>-959994.95615287859</v>
      </c>
      <c r="M493" s="110">
        <f t="shared" ca="1" si="118"/>
        <v>-996620.00458211626</v>
      </c>
      <c r="N493" s="110">
        <f t="shared" ca="1" si="118"/>
        <v>-1034642.3459490372</v>
      </c>
      <c r="O493" s="110">
        <f t="shared" ca="1" si="118"/>
        <v>-1074115.2887853007</v>
      </c>
      <c r="P493" s="110">
        <f t="shared" ca="1" si="118"/>
        <v>-1115094.1754119522</v>
      </c>
      <c r="Q493" s="110">
        <f t="shared" ca="1" si="118"/>
        <v>-1157636.4595311198</v>
      </c>
      <c r="R493" s="110">
        <f t="shared" ca="1" si="118"/>
        <v>-1201801.7867779294</v>
      </c>
      <c r="S493" s="110">
        <f t="shared" ca="1" si="118"/>
        <v>0</v>
      </c>
      <c r="T493" s="110">
        <f t="shared" ca="1" si="118"/>
        <v>0</v>
      </c>
      <c r="U493" s="110">
        <f t="shared" ca="1" si="118"/>
        <v>0</v>
      </c>
      <c r="V493" s="38"/>
      <c r="X493" s="141"/>
    </row>
    <row r="494" spans="3:24" x14ac:dyDescent="0.2">
      <c r="C494" s="37"/>
      <c r="D494" s="1" t="s">
        <v>223</v>
      </c>
      <c r="I494" s="110">
        <f t="shared" ref="I494:U494" si="119">IF(I448=1, -I490-I493, 0)</f>
        <v>0</v>
      </c>
      <c r="J494" s="110">
        <f t="shared" si="119"/>
        <v>0</v>
      </c>
      <c r="K494" s="110">
        <f t="shared" si="119"/>
        <v>0</v>
      </c>
      <c r="L494" s="110">
        <f t="shared" si="119"/>
        <v>0</v>
      </c>
      <c r="M494" s="110">
        <f t="shared" si="119"/>
        <v>0</v>
      </c>
      <c r="N494" s="110">
        <f t="shared" si="119"/>
        <v>0</v>
      </c>
      <c r="O494" s="110">
        <f t="shared" si="119"/>
        <v>0</v>
      </c>
      <c r="P494" s="110">
        <f t="shared" si="119"/>
        <v>0</v>
      </c>
      <c r="Q494" s="110">
        <f t="shared" si="119"/>
        <v>0</v>
      </c>
      <c r="R494" s="110">
        <f t="shared" ca="1" si="119"/>
        <v>-40442850.249220058</v>
      </c>
      <c r="S494" s="110">
        <f t="shared" si="119"/>
        <v>0</v>
      </c>
      <c r="T494" s="110">
        <f t="shared" si="119"/>
        <v>0</v>
      </c>
      <c r="U494" s="110">
        <f t="shared" si="119"/>
        <v>0</v>
      </c>
      <c r="V494" s="38"/>
      <c r="X494" s="141"/>
    </row>
    <row r="495" spans="3:24" x14ac:dyDescent="0.2">
      <c r="C495" s="37"/>
      <c r="D495" s="3" t="s">
        <v>85</v>
      </c>
      <c r="E495" s="3"/>
      <c r="F495" s="3"/>
      <c r="G495" s="3"/>
      <c r="H495" s="3"/>
      <c r="I495" s="261">
        <f ca="1">SUM(I490, I493, I494)</f>
        <v>0</v>
      </c>
      <c r="J495" s="261">
        <f t="shared" ref="J495:U495" ca="1" si="120">SUM(J490, J493, J494)</f>
        <v>48907471.117589325</v>
      </c>
      <c r="K495" s="261">
        <f t="shared" ca="1" si="120"/>
        <v>47982755.26641053</v>
      </c>
      <c r="L495" s="261">
        <f t="shared" ca="1" si="120"/>
        <v>47022760.310257651</v>
      </c>
      <c r="M495" s="261">
        <f t="shared" ca="1" si="120"/>
        <v>46026140.305675536</v>
      </c>
      <c r="N495" s="261">
        <f t="shared" ca="1" si="120"/>
        <v>44991497.959726498</v>
      </c>
      <c r="O495" s="261">
        <f t="shared" ca="1" si="120"/>
        <v>43917382.670941189</v>
      </c>
      <c r="P495" s="261">
        <f t="shared" ca="1" si="120"/>
        <v>42802288.495529234</v>
      </c>
      <c r="Q495" s="261">
        <f t="shared" ca="1" si="120"/>
        <v>41644652.035998091</v>
      </c>
      <c r="R495" s="261">
        <f t="shared" ca="1" si="120"/>
        <v>0</v>
      </c>
      <c r="S495" s="261">
        <f t="shared" ca="1" si="120"/>
        <v>0</v>
      </c>
      <c r="T495" s="261">
        <f t="shared" ca="1" si="120"/>
        <v>0</v>
      </c>
      <c r="U495" s="261">
        <f t="shared" ca="1" si="120"/>
        <v>0</v>
      </c>
      <c r="V495" s="38"/>
      <c r="X495" s="141"/>
    </row>
    <row r="496" spans="3:24" ht="5.0999999999999996" customHeight="1" x14ac:dyDescent="0.2">
      <c r="C496" s="39"/>
      <c r="D496" s="24"/>
      <c r="E496" s="24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40"/>
      <c r="X496" s="141"/>
    </row>
    <row r="497" spans="2:24" x14ac:dyDescent="0.2">
      <c r="X497" s="141"/>
    </row>
    <row r="498" spans="2:24" ht="5.0999999999999996" customHeight="1" x14ac:dyDescent="0.2">
      <c r="C498" s="35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36"/>
      <c r="X498" s="141"/>
    </row>
    <row r="499" spans="2:24" x14ac:dyDescent="0.2">
      <c r="C499" s="37"/>
      <c r="D499" s="2" t="s">
        <v>301</v>
      </c>
      <c r="V499" s="38"/>
      <c r="X499" s="141"/>
    </row>
    <row r="500" spans="2:24" ht="5.0999999999999996" customHeight="1" x14ac:dyDescent="0.2">
      <c r="C500" s="37"/>
      <c r="V500" s="38"/>
      <c r="X500" s="141"/>
    </row>
    <row r="501" spans="2:24" x14ac:dyDescent="0.2">
      <c r="C501" s="37"/>
      <c r="D501" s="1" t="s">
        <v>84</v>
      </c>
      <c r="I501" s="110">
        <v>0</v>
      </c>
      <c r="J501" s="110">
        <f ca="1">I505</f>
        <v>6654393.4318984784</v>
      </c>
      <c r="K501" s="110">
        <f t="shared" ref="K501:U501" ca="1" si="121">J505</f>
        <v>1622850.6297867773</v>
      </c>
      <c r="L501" s="110">
        <f t="shared" ca="1" si="121"/>
        <v>5008096.2370403511</v>
      </c>
      <c r="M501" s="110">
        <f t="shared" ca="1" si="121"/>
        <v>8495739.4077303819</v>
      </c>
      <c r="N501" s="110">
        <f t="shared" ca="1" si="121"/>
        <v>12107994.639967643</v>
      </c>
      <c r="O501" s="110">
        <f t="shared" ca="1" si="121"/>
        <v>15847354.174982928</v>
      </c>
      <c r="P501" s="110">
        <f t="shared" ca="1" si="121"/>
        <v>19737760.999671701</v>
      </c>
      <c r="Q501" s="110">
        <f t="shared" ca="1" si="121"/>
        <v>23739006.240124203</v>
      </c>
      <c r="R501" s="110">
        <f t="shared" ca="1" si="121"/>
        <v>27875135.583500814</v>
      </c>
      <c r="S501" s="110">
        <f t="shared" ca="1" si="121"/>
        <v>0</v>
      </c>
      <c r="T501" s="110">
        <f t="shared" ca="1" si="121"/>
        <v>0</v>
      </c>
      <c r="U501" s="110">
        <f t="shared" ca="1" si="121"/>
        <v>0</v>
      </c>
      <c r="V501" s="38"/>
      <c r="X501" s="141"/>
    </row>
    <row r="502" spans="2:24" x14ac:dyDescent="0.2">
      <c r="C502" s="37"/>
      <c r="D502" s="1" t="s">
        <v>303</v>
      </c>
      <c r="I502" s="110">
        <f>I552</f>
        <v>0</v>
      </c>
      <c r="J502" s="110">
        <f t="shared" ref="J502:U502" si="122">J552</f>
        <v>2994330.5831249999</v>
      </c>
      <c r="K502" s="110">
        <f t="shared" si="122"/>
        <v>6128205.5139300004</v>
      </c>
      <c r="L502" s="110">
        <f t="shared" si="122"/>
        <v>6230603.0773665011</v>
      </c>
      <c r="M502" s="110">
        <f t="shared" si="122"/>
        <v>6355215.1389138289</v>
      </c>
      <c r="N502" s="110">
        <f t="shared" si="122"/>
        <v>6482319.4416921064</v>
      </c>
      <c r="O502" s="110">
        <f t="shared" si="122"/>
        <v>6633366.731367155</v>
      </c>
      <c r="P502" s="110">
        <f t="shared" si="122"/>
        <v>6744205.1471364647</v>
      </c>
      <c r="Q502" s="110">
        <f t="shared" si="122"/>
        <v>6879089.250079195</v>
      </c>
      <c r="R502" s="110">
        <f t="shared" si="122"/>
        <v>7016671.0350807784</v>
      </c>
      <c r="S502" s="110">
        <f t="shared" si="122"/>
        <v>0</v>
      </c>
      <c r="T502" s="110">
        <f t="shared" si="122"/>
        <v>0</v>
      </c>
      <c r="U502" s="110">
        <f t="shared" si="122"/>
        <v>0</v>
      </c>
      <c r="V502" s="38"/>
      <c r="X502" s="141"/>
    </row>
    <row r="503" spans="2:24" x14ac:dyDescent="0.2">
      <c r="C503" s="37"/>
      <c r="D503" s="1" t="s">
        <v>308</v>
      </c>
      <c r="I503" s="110">
        <f ca="1">SUM(I555:I570)-I569</f>
        <v>6654393.4318984784</v>
      </c>
      <c r="J503" s="110">
        <f t="shared" ref="J503:U503" ca="1" si="123">SUM(J555:J570)-J569</f>
        <v>-8025873.3852366852</v>
      </c>
      <c r="K503" s="110">
        <f t="shared" ca="1" si="123"/>
        <v>-2742959.906676434</v>
      </c>
      <c r="L503" s="110">
        <f t="shared" ca="1" si="123"/>
        <v>-2742959.906676434</v>
      </c>
      <c r="M503" s="110">
        <f t="shared" ca="1" si="123"/>
        <v>-2742959.906676434</v>
      </c>
      <c r="N503" s="110">
        <f t="shared" ca="1" si="123"/>
        <v>-2742959.906676434</v>
      </c>
      <c r="O503" s="110">
        <f t="shared" ca="1" si="123"/>
        <v>-2742959.906676434</v>
      </c>
      <c r="P503" s="110">
        <f t="shared" ca="1" si="123"/>
        <v>-2742959.906676434</v>
      </c>
      <c r="Q503" s="110">
        <f t="shared" ca="1" si="123"/>
        <v>-2742959.906676434</v>
      </c>
      <c r="R503" s="110">
        <f t="shared" ca="1" si="123"/>
        <v>24174231.780879349</v>
      </c>
      <c r="S503" s="110">
        <f t="shared" ca="1" si="123"/>
        <v>0</v>
      </c>
      <c r="T503" s="110">
        <f t="shared" ca="1" si="123"/>
        <v>0</v>
      </c>
      <c r="U503" s="110">
        <f t="shared" ca="1" si="123"/>
        <v>0</v>
      </c>
      <c r="V503" s="38"/>
      <c r="X503" s="141"/>
    </row>
    <row r="504" spans="2:24" x14ac:dyDescent="0.2">
      <c r="C504" s="37"/>
      <c r="D504" s="1" t="s">
        <v>304</v>
      </c>
      <c r="I504" s="110">
        <f t="shared" ref="I504:Q504" si="124">-I569</f>
        <v>0</v>
      </c>
      <c r="J504" s="110">
        <f t="shared" si="124"/>
        <v>0</v>
      </c>
      <c r="K504" s="110">
        <f t="shared" si="124"/>
        <v>0</v>
      </c>
      <c r="L504" s="110">
        <f t="shared" si="124"/>
        <v>0</v>
      </c>
      <c r="M504" s="110">
        <f t="shared" si="124"/>
        <v>0</v>
      </c>
      <c r="N504" s="110">
        <f t="shared" si="124"/>
        <v>0</v>
      </c>
      <c r="O504" s="110">
        <f t="shared" si="124"/>
        <v>0</v>
      </c>
      <c r="P504" s="110">
        <f t="shared" si="124"/>
        <v>0</v>
      </c>
      <c r="Q504" s="110">
        <f t="shared" si="124"/>
        <v>0</v>
      </c>
      <c r="R504" s="110">
        <f ca="1">-SUM(R501, R502, R503)</f>
        <v>-59066038.399460942</v>
      </c>
      <c r="S504" s="110">
        <f>-S569</f>
        <v>0</v>
      </c>
      <c r="T504" s="110">
        <f>-T569</f>
        <v>0</v>
      </c>
      <c r="U504" s="110">
        <f>-U569</f>
        <v>0</v>
      </c>
      <c r="V504" s="38"/>
      <c r="X504" s="141"/>
    </row>
    <row r="505" spans="2:24" x14ac:dyDescent="0.2">
      <c r="C505" s="37"/>
      <c r="D505" s="3" t="s">
        <v>85</v>
      </c>
      <c r="E505" s="3"/>
      <c r="F505" s="3"/>
      <c r="G505" s="3"/>
      <c r="H505" s="3"/>
      <c r="I505" s="261">
        <f ca="1">SUM(I501, I502, I503, I504)</f>
        <v>6654393.4318984784</v>
      </c>
      <c r="J505" s="261">
        <f t="shared" ref="J505:U505" ca="1" si="125">SUM(J501, J502, J503, J504)</f>
        <v>1622850.6297867922</v>
      </c>
      <c r="K505" s="261">
        <f t="shared" ca="1" si="125"/>
        <v>5008096.2370403437</v>
      </c>
      <c r="L505" s="261">
        <f t="shared" ca="1" si="125"/>
        <v>8495739.4077304192</v>
      </c>
      <c r="M505" s="261">
        <f t="shared" ca="1" si="125"/>
        <v>12107994.639967777</v>
      </c>
      <c r="N505" s="261">
        <f t="shared" ca="1" si="125"/>
        <v>15847354.174983315</v>
      </c>
      <c r="O505" s="261">
        <f t="shared" ca="1" si="125"/>
        <v>19737760.99967365</v>
      </c>
      <c r="P505" s="261">
        <f t="shared" ca="1" si="125"/>
        <v>23739006.240131732</v>
      </c>
      <c r="Q505" s="261">
        <f t="shared" ca="1" si="125"/>
        <v>27875135.583526965</v>
      </c>
      <c r="R505" s="261">
        <f t="shared" ca="1" si="125"/>
        <v>0</v>
      </c>
      <c r="S505" s="261">
        <f t="shared" ca="1" si="125"/>
        <v>0</v>
      </c>
      <c r="T505" s="261">
        <f t="shared" ca="1" si="125"/>
        <v>0</v>
      </c>
      <c r="U505" s="261">
        <f t="shared" ca="1" si="125"/>
        <v>0</v>
      </c>
      <c r="V505" s="38"/>
      <c r="X505" s="141"/>
    </row>
    <row r="506" spans="2:24" ht="5.0999999999999996" customHeight="1" x14ac:dyDescent="0.2">
      <c r="C506" s="39"/>
      <c r="D506" s="24"/>
      <c r="E506" s="24"/>
      <c r="F506" s="24"/>
      <c r="G506" s="24"/>
      <c r="H506" s="24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40"/>
      <c r="X506" s="141"/>
    </row>
    <row r="507" spans="2:24" x14ac:dyDescent="0.2">
      <c r="X507" s="141"/>
    </row>
    <row r="508" spans="2:24" x14ac:dyDescent="0.2">
      <c r="B508" s="18" t="s">
        <v>293</v>
      </c>
      <c r="C508" s="18"/>
      <c r="D508" s="18"/>
      <c r="E508" s="14"/>
      <c r="K508" s="110"/>
      <c r="X508" s="141"/>
    </row>
    <row r="509" spans="2:24" x14ac:dyDescent="0.2">
      <c r="X509" s="141"/>
    </row>
    <row r="510" spans="2:24" ht="15" x14ac:dyDescent="0.2">
      <c r="D510" s="225"/>
      <c r="E510" s="225"/>
      <c r="F510" s="225"/>
      <c r="G510" s="225"/>
      <c r="H510" s="226"/>
      <c r="I510" s="99" t="s">
        <v>25</v>
      </c>
      <c r="J510" s="99"/>
      <c r="K510" s="99"/>
      <c r="L510" s="99"/>
      <c r="M510" s="99"/>
      <c r="N510" s="99"/>
      <c r="O510" s="99"/>
      <c r="P510" s="99"/>
      <c r="Q510" s="99"/>
      <c r="R510" s="99"/>
      <c r="S510" s="99"/>
      <c r="T510" s="99"/>
      <c r="U510" s="99"/>
      <c r="X510" s="141"/>
    </row>
    <row r="511" spans="2:24" x14ac:dyDescent="0.2">
      <c r="D511" s="225"/>
      <c r="E511" s="225"/>
      <c r="F511" s="180"/>
      <c r="G511" s="225"/>
      <c r="H511" s="226"/>
      <c r="I511" s="100">
        <f>EOMONTH($G$19, $G$24)</f>
        <v>43465</v>
      </c>
      <c r="J511" s="100">
        <f t="shared" ref="J511:U511" si="126">EOMONTH(I511, $G$24)</f>
        <v>43830</v>
      </c>
      <c r="K511" s="100">
        <f t="shared" si="126"/>
        <v>44196</v>
      </c>
      <c r="L511" s="100">
        <f t="shared" si="126"/>
        <v>44561</v>
      </c>
      <c r="M511" s="100">
        <f t="shared" si="126"/>
        <v>44926</v>
      </c>
      <c r="N511" s="100">
        <f t="shared" si="126"/>
        <v>45291</v>
      </c>
      <c r="O511" s="100">
        <f t="shared" si="126"/>
        <v>45657</v>
      </c>
      <c r="P511" s="100">
        <f t="shared" si="126"/>
        <v>46022</v>
      </c>
      <c r="Q511" s="100">
        <f t="shared" si="126"/>
        <v>46387</v>
      </c>
      <c r="R511" s="100">
        <f t="shared" si="126"/>
        <v>46752</v>
      </c>
      <c r="S511" s="100">
        <f t="shared" si="126"/>
        <v>47118</v>
      </c>
      <c r="T511" s="100">
        <f t="shared" si="126"/>
        <v>47483</v>
      </c>
      <c r="U511" s="100">
        <f t="shared" si="126"/>
        <v>47848</v>
      </c>
      <c r="X511" s="141"/>
    </row>
    <row r="512" spans="2:24" x14ac:dyDescent="0.2">
      <c r="D512" s="225"/>
      <c r="E512" s="225"/>
      <c r="F512" s="180" t="s">
        <v>193</v>
      </c>
      <c r="G512" s="225"/>
      <c r="H512" s="226"/>
      <c r="I512" s="101">
        <f>EOMONTH($G$19, $G$24)</f>
        <v>43465</v>
      </c>
      <c r="J512" s="101">
        <f t="shared" ref="J512:U512" si="127">EOMONTH(I512, $G$24)</f>
        <v>43830</v>
      </c>
      <c r="K512" s="101">
        <f t="shared" si="127"/>
        <v>44196</v>
      </c>
      <c r="L512" s="101">
        <f t="shared" si="127"/>
        <v>44561</v>
      </c>
      <c r="M512" s="101">
        <f t="shared" si="127"/>
        <v>44926</v>
      </c>
      <c r="N512" s="101">
        <f t="shared" si="127"/>
        <v>45291</v>
      </c>
      <c r="O512" s="101">
        <f t="shared" si="127"/>
        <v>45657</v>
      </c>
      <c r="P512" s="101">
        <f t="shared" si="127"/>
        <v>46022</v>
      </c>
      <c r="Q512" s="101">
        <f t="shared" si="127"/>
        <v>46387</v>
      </c>
      <c r="R512" s="101">
        <f t="shared" si="127"/>
        <v>46752</v>
      </c>
      <c r="S512" s="101">
        <f t="shared" si="127"/>
        <v>47118</v>
      </c>
      <c r="T512" s="101">
        <f t="shared" si="127"/>
        <v>47483</v>
      </c>
      <c r="U512" s="101">
        <f t="shared" si="127"/>
        <v>47848</v>
      </c>
      <c r="X512" s="141"/>
    </row>
    <row r="513" spans="4:24" x14ac:dyDescent="0.2">
      <c r="X513" s="141"/>
    </row>
    <row r="514" spans="4:24" x14ac:dyDescent="0.2">
      <c r="D514" s="2" t="s">
        <v>40</v>
      </c>
      <c r="E514" s="2"/>
      <c r="X514" s="141"/>
    </row>
    <row r="515" spans="4:24" ht="5.0999999999999996" customHeight="1" x14ac:dyDescent="0.2">
      <c r="X515" s="141"/>
    </row>
    <row r="516" spans="4:24" x14ac:dyDescent="0.2">
      <c r="D516" s="1" t="s">
        <v>6</v>
      </c>
      <c r="F516" s="8" t="s">
        <v>273</v>
      </c>
      <c r="I516" s="15">
        <f t="shared" ref="I516:T516" si="128">I470*I471</f>
        <v>0</v>
      </c>
      <c r="J516" s="15">
        <f t="shared" si="128"/>
        <v>8655975</v>
      </c>
      <c r="K516" s="15">
        <f t="shared" si="128"/>
        <v>17706567.600000001</v>
      </c>
      <c r="L516" s="15">
        <f t="shared" si="128"/>
        <v>18011352.780000001</v>
      </c>
      <c r="M516" s="15">
        <f t="shared" si="128"/>
        <v>18371579.8356</v>
      </c>
      <c r="N516" s="15">
        <f t="shared" si="128"/>
        <v>18739011.432312001</v>
      </c>
      <c r="O516" s="15">
        <f t="shared" si="128"/>
        <v>19166158.213454016</v>
      </c>
      <c r="P516" s="15">
        <f t="shared" si="128"/>
        <v>19496067.494177405</v>
      </c>
      <c r="Q516" s="15">
        <f t="shared" si="128"/>
        <v>19885988.844060954</v>
      </c>
      <c r="R516" s="15">
        <f t="shared" si="128"/>
        <v>20283708.620942172</v>
      </c>
      <c r="S516" s="15">
        <f t="shared" si="128"/>
        <v>0</v>
      </c>
      <c r="T516" s="15">
        <f t="shared" si="128"/>
        <v>0</v>
      </c>
      <c r="U516" s="15">
        <f>U470*U471</f>
        <v>0</v>
      </c>
      <c r="X516" s="141"/>
    </row>
    <row r="517" spans="4:24" x14ac:dyDescent="0.2">
      <c r="D517" s="1" t="s">
        <v>7</v>
      </c>
      <c r="F517" s="8" t="s">
        <v>273</v>
      </c>
      <c r="I517" s="13">
        <f t="shared" ref="I517:U517" si="129">I234*I470</f>
        <v>0</v>
      </c>
      <c r="J517" s="13">
        <f t="shared" si="129"/>
        <v>2163993.75</v>
      </c>
      <c r="K517" s="13">
        <f t="shared" si="129"/>
        <v>4426641.9000000004</v>
      </c>
      <c r="L517" s="13">
        <f t="shared" si="129"/>
        <v>4502838.1950000003</v>
      </c>
      <c r="M517" s="13">
        <f t="shared" si="129"/>
        <v>4592894.9589</v>
      </c>
      <c r="N517" s="13">
        <f t="shared" si="129"/>
        <v>4684752.8580780001</v>
      </c>
      <c r="O517" s="13">
        <f t="shared" si="129"/>
        <v>4791539.5533635039</v>
      </c>
      <c r="P517" s="13">
        <f t="shared" si="129"/>
        <v>4874016.8735443512</v>
      </c>
      <c r="Q517" s="13">
        <f t="shared" si="129"/>
        <v>4971497.2110152384</v>
      </c>
      <c r="R517" s="13">
        <f t="shared" si="129"/>
        <v>5070927.1552355429</v>
      </c>
      <c r="S517" s="13">
        <f t="shared" si="129"/>
        <v>0</v>
      </c>
      <c r="T517" s="13">
        <f t="shared" si="129"/>
        <v>0</v>
      </c>
      <c r="U517" s="13">
        <f t="shared" si="129"/>
        <v>0</v>
      </c>
      <c r="X517" s="141"/>
    </row>
    <row r="518" spans="4:24" x14ac:dyDescent="0.2">
      <c r="D518" s="1" t="s">
        <v>8</v>
      </c>
      <c r="F518" s="8" t="s">
        <v>273</v>
      </c>
      <c r="I518" s="13">
        <f t="shared" ref="I518:U518" si="130">I244*I470</f>
        <v>0</v>
      </c>
      <c r="J518" s="13">
        <f t="shared" si="130"/>
        <v>865597.49999999988</v>
      </c>
      <c r="K518" s="13">
        <f t="shared" si="130"/>
        <v>1770656.76</v>
      </c>
      <c r="L518" s="13">
        <f t="shared" si="130"/>
        <v>1801135.2780000002</v>
      </c>
      <c r="M518" s="13">
        <f t="shared" si="130"/>
        <v>1837157.9835600001</v>
      </c>
      <c r="N518" s="13">
        <f t="shared" si="130"/>
        <v>1873901.1432312003</v>
      </c>
      <c r="O518" s="13">
        <f t="shared" si="130"/>
        <v>1916615.8213454017</v>
      </c>
      <c r="P518" s="13">
        <f t="shared" si="130"/>
        <v>1949606.7494177406</v>
      </c>
      <c r="Q518" s="13">
        <f t="shared" si="130"/>
        <v>1988598.8844060954</v>
      </c>
      <c r="R518" s="13">
        <f t="shared" si="130"/>
        <v>2028370.8620942174</v>
      </c>
      <c r="S518" s="13">
        <f t="shared" si="130"/>
        <v>0</v>
      </c>
      <c r="T518" s="13">
        <f t="shared" si="130"/>
        <v>0</v>
      </c>
      <c r="U518" s="13">
        <f t="shared" si="130"/>
        <v>0</v>
      </c>
      <c r="X518" s="141"/>
    </row>
    <row r="519" spans="4:24" ht="5.0999999999999996" customHeight="1" x14ac:dyDescent="0.2">
      <c r="X519" s="141"/>
    </row>
    <row r="520" spans="4:24" x14ac:dyDescent="0.2">
      <c r="D520" s="20" t="s">
        <v>4</v>
      </c>
      <c r="E520" s="20"/>
      <c r="F520" s="20"/>
      <c r="G520" s="20"/>
      <c r="H520" s="20"/>
      <c r="I520" s="103">
        <f>SUM(I515:I519)</f>
        <v>0</v>
      </c>
      <c r="J520" s="103">
        <f>SUM(J515:J519)</f>
        <v>11685566.25</v>
      </c>
      <c r="K520" s="103">
        <f>SUM(K515:K519)</f>
        <v>23903866.260000002</v>
      </c>
      <c r="L520" s="103">
        <f>SUM(L515:L519)</f>
        <v>24315326.253000002</v>
      </c>
      <c r="M520" s="103">
        <f t="shared" ref="M520:R520" si="131">SUM(M515:M519)</f>
        <v>24801632.77806</v>
      </c>
      <c r="N520" s="103">
        <f t="shared" si="131"/>
        <v>25297665.433621202</v>
      </c>
      <c r="O520" s="103">
        <f t="shared" si="131"/>
        <v>25874313.588162918</v>
      </c>
      <c r="P520" s="103">
        <f t="shared" si="131"/>
        <v>26319691.117139496</v>
      </c>
      <c r="Q520" s="103">
        <f t="shared" si="131"/>
        <v>26846084.939482287</v>
      </c>
      <c r="R520" s="103">
        <f t="shared" si="131"/>
        <v>27383006.638271932</v>
      </c>
      <c r="S520" s="103">
        <f>SUM(S515:S519)</f>
        <v>0</v>
      </c>
      <c r="T520" s="103">
        <f>SUM(T515:T519)</f>
        <v>0</v>
      </c>
      <c r="U520" s="103">
        <f>SUM(U515:U519)</f>
        <v>0</v>
      </c>
      <c r="X520" s="141"/>
    </row>
    <row r="521" spans="4:24" x14ac:dyDescent="0.2">
      <c r="X521" s="141"/>
    </row>
    <row r="522" spans="4:24" x14ac:dyDescent="0.2">
      <c r="D522" s="2" t="s">
        <v>9</v>
      </c>
      <c r="E522" s="2"/>
      <c r="X522" s="141"/>
    </row>
    <row r="523" spans="4:24" ht="5.0999999999999996" customHeight="1" x14ac:dyDescent="0.2">
      <c r="X523" s="141"/>
    </row>
    <row r="524" spans="4:24" x14ac:dyDescent="0.2">
      <c r="D524" s="1" t="s">
        <v>6</v>
      </c>
      <c r="F524" s="8" t="s">
        <v>127</v>
      </c>
      <c r="G524" s="8"/>
      <c r="H524" s="8"/>
      <c r="I524" s="13">
        <f t="shared" ref="I524:U524" si="132">-I516*(1-I270)</f>
        <v>0</v>
      </c>
      <c r="J524" s="13">
        <f t="shared" si="132"/>
        <v>-2380393.125</v>
      </c>
      <c r="K524" s="13">
        <f t="shared" si="132"/>
        <v>-4869306.0900000008</v>
      </c>
      <c r="L524" s="13">
        <f t="shared" si="132"/>
        <v>-4953122.0145000005</v>
      </c>
      <c r="M524" s="13">
        <f t="shared" si="132"/>
        <v>-5052184.4547900008</v>
      </c>
      <c r="N524" s="13">
        <f t="shared" si="132"/>
        <v>-5153228.1438858006</v>
      </c>
      <c r="O524" s="13">
        <f t="shared" si="132"/>
        <v>-5270693.5086998548</v>
      </c>
      <c r="P524" s="13">
        <f t="shared" si="132"/>
        <v>-5361418.5608987864</v>
      </c>
      <c r="Q524" s="13">
        <f t="shared" si="132"/>
        <v>-5468646.9321167627</v>
      </c>
      <c r="R524" s="13">
        <f t="shared" si="132"/>
        <v>-5578019.8707590979</v>
      </c>
      <c r="S524" s="13">
        <f t="shared" si="132"/>
        <v>0</v>
      </c>
      <c r="T524" s="13">
        <f t="shared" si="132"/>
        <v>0</v>
      </c>
      <c r="U524" s="13">
        <f t="shared" si="132"/>
        <v>0</v>
      </c>
      <c r="X524" s="141"/>
    </row>
    <row r="525" spans="4:24" x14ac:dyDescent="0.2">
      <c r="D525" s="1" t="s">
        <v>7</v>
      </c>
      <c r="F525" s="8" t="s">
        <v>128</v>
      </c>
      <c r="G525" s="8"/>
      <c r="H525" s="8"/>
      <c r="I525" s="13">
        <f t="shared" ref="I525:U525" si="133">-I517*(1-I280)</f>
        <v>0</v>
      </c>
      <c r="J525" s="13">
        <f t="shared" si="133"/>
        <v>-1514795.625</v>
      </c>
      <c r="K525" s="13">
        <f t="shared" si="133"/>
        <v>-3098649.33</v>
      </c>
      <c r="L525" s="13">
        <f t="shared" si="133"/>
        <v>-3151986.7365000001</v>
      </c>
      <c r="M525" s="13">
        <f t="shared" si="133"/>
        <v>-3215026.4712299998</v>
      </c>
      <c r="N525" s="13">
        <f t="shared" si="133"/>
        <v>-3279327.0006546001</v>
      </c>
      <c r="O525" s="13">
        <f t="shared" si="133"/>
        <v>-3354077.6873544524</v>
      </c>
      <c r="P525" s="13">
        <f t="shared" si="133"/>
        <v>-3411811.8114810456</v>
      </c>
      <c r="Q525" s="13">
        <f t="shared" si="133"/>
        <v>-3480048.0477106669</v>
      </c>
      <c r="R525" s="13">
        <f t="shared" si="133"/>
        <v>-3549649.0086648799</v>
      </c>
      <c r="S525" s="13">
        <f t="shared" si="133"/>
        <v>0</v>
      </c>
      <c r="T525" s="13">
        <f t="shared" si="133"/>
        <v>0</v>
      </c>
      <c r="U525" s="13">
        <f t="shared" si="133"/>
        <v>0</v>
      </c>
      <c r="X525" s="141"/>
    </row>
    <row r="526" spans="4:24" x14ac:dyDescent="0.2">
      <c r="D526" s="1" t="s">
        <v>8</v>
      </c>
      <c r="F526" s="8" t="s">
        <v>129</v>
      </c>
      <c r="G526" s="8"/>
      <c r="H526" s="8"/>
      <c r="I526" s="13">
        <f t="shared" ref="I526:U526" si="134">-I518*(1-I290)</f>
        <v>0</v>
      </c>
      <c r="J526" s="13">
        <f t="shared" si="134"/>
        <v>-800677.68749999988</v>
      </c>
      <c r="K526" s="13">
        <f t="shared" si="134"/>
        <v>-1637857.503</v>
      </c>
      <c r="L526" s="13">
        <f t="shared" si="134"/>
        <v>-1666050.1321500002</v>
      </c>
      <c r="M526" s="13">
        <f t="shared" si="134"/>
        <v>-1699371.1347930001</v>
      </c>
      <c r="N526" s="13">
        <f t="shared" si="134"/>
        <v>-1733358.5574888603</v>
      </c>
      <c r="O526" s="13">
        <f t="shared" si="134"/>
        <v>-1772869.6347444966</v>
      </c>
      <c r="P526" s="13">
        <f t="shared" si="134"/>
        <v>-1803386.2432114102</v>
      </c>
      <c r="Q526" s="13">
        <f t="shared" si="134"/>
        <v>-1839453.9680756384</v>
      </c>
      <c r="R526" s="13">
        <f t="shared" si="134"/>
        <v>-1876243.0474371512</v>
      </c>
      <c r="S526" s="13">
        <f t="shared" si="134"/>
        <v>0</v>
      </c>
      <c r="T526" s="13">
        <f t="shared" si="134"/>
        <v>0</v>
      </c>
      <c r="U526" s="13">
        <f t="shared" si="134"/>
        <v>0</v>
      </c>
      <c r="X526" s="141"/>
    </row>
    <row r="527" spans="4:24" ht="5.0999999999999996" customHeight="1" x14ac:dyDescent="0.2">
      <c r="X527" s="141"/>
    </row>
    <row r="528" spans="4:24" x14ac:dyDescent="0.2">
      <c r="D528" s="20" t="s">
        <v>12</v>
      </c>
      <c r="E528" s="20"/>
      <c r="F528" s="20"/>
      <c r="G528" s="20"/>
      <c r="H528" s="20"/>
      <c r="I528" s="104">
        <f>SUM(I523:I527)</f>
        <v>0</v>
      </c>
      <c r="J528" s="104">
        <f t="shared" ref="J528:R528" si="135">SUM(J523:J527)</f>
        <v>-4695866.4375</v>
      </c>
      <c r="K528" s="104">
        <f t="shared" si="135"/>
        <v>-9605812.9230000004</v>
      </c>
      <c r="L528" s="104">
        <f t="shared" si="135"/>
        <v>-9771158.8831500001</v>
      </c>
      <c r="M528" s="104">
        <f t="shared" si="135"/>
        <v>-9966582.0608130004</v>
      </c>
      <c r="N528" s="104">
        <f t="shared" si="135"/>
        <v>-10165913.702029262</v>
      </c>
      <c r="O528" s="104">
        <f t="shared" si="135"/>
        <v>-10397640.830798805</v>
      </c>
      <c r="P528" s="104">
        <f t="shared" si="135"/>
        <v>-10576616.615591243</v>
      </c>
      <c r="Q528" s="104">
        <f t="shared" si="135"/>
        <v>-10788148.947903069</v>
      </c>
      <c r="R528" s="104">
        <f t="shared" si="135"/>
        <v>-11003911.92686113</v>
      </c>
      <c r="S528" s="104">
        <f>SUM(S523:S527)</f>
        <v>0</v>
      </c>
      <c r="T528" s="104">
        <f>SUM(T523:T527)</f>
        <v>0</v>
      </c>
      <c r="U528" s="104">
        <f>SUM(U523:U527)</f>
        <v>0</v>
      </c>
      <c r="X528" s="141"/>
    </row>
    <row r="529" spans="4:24" x14ac:dyDescent="0.2">
      <c r="X529" s="141"/>
    </row>
    <row r="530" spans="4:24" x14ac:dyDescent="0.2">
      <c r="D530" s="5" t="s">
        <v>11</v>
      </c>
      <c r="E530" s="5"/>
      <c r="F530" s="5"/>
      <c r="G530" s="5"/>
      <c r="H530" s="5"/>
      <c r="I530" s="17">
        <f>SUM(I520, I528)</f>
        <v>0</v>
      </c>
      <c r="J530" s="17">
        <f>SUM(J520, J528)</f>
        <v>6989699.8125</v>
      </c>
      <c r="K530" s="17">
        <f>SUM(K520, K528)</f>
        <v>14298053.337000001</v>
      </c>
      <c r="L530" s="17">
        <f>SUM(L520, L528)</f>
        <v>14544167.369850002</v>
      </c>
      <c r="M530" s="17">
        <f t="shared" ref="M530:R530" si="136">SUM(M520, M528)</f>
        <v>14835050.717247</v>
      </c>
      <c r="N530" s="17">
        <f t="shared" si="136"/>
        <v>15131751.73159194</v>
      </c>
      <c r="O530" s="17">
        <f t="shared" si="136"/>
        <v>15476672.757364113</v>
      </c>
      <c r="P530" s="17">
        <f t="shared" si="136"/>
        <v>15743074.501548253</v>
      </c>
      <c r="Q530" s="17">
        <f t="shared" si="136"/>
        <v>16057935.991579218</v>
      </c>
      <c r="R530" s="17">
        <f t="shared" si="136"/>
        <v>16379094.711410802</v>
      </c>
      <c r="S530" s="17">
        <f>SUM(S520, S528)</f>
        <v>0</v>
      </c>
      <c r="T530" s="17">
        <f>SUM(T520, T528)</f>
        <v>0</v>
      </c>
      <c r="U530" s="17">
        <f>SUM(U520, U528)</f>
        <v>0</v>
      </c>
      <c r="X530" s="141"/>
    </row>
    <row r="531" spans="4:24" x14ac:dyDescent="0.2">
      <c r="X531" s="141"/>
    </row>
    <row r="532" spans="4:24" x14ac:dyDescent="0.2">
      <c r="D532" s="2" t="s">
        <v>178</v>
      </c>
      <c r="E532" s="2"/>
      <c r="X532" s="141"/>
    </row>
    <row r="533" spans="4:24" ht="5.0999999999999996" customHeight="1" x14ac:dyDescent="0.2">
      <c r="X533" s="141"/>
    </row>
    <row r="534" spans="4:24" x14ac:dyDescent="0.2">
      <c r="D534" s="1" t="s">
        <v>194</v>
      </c>
      <c r="F534" s="8" t="s">
        <v>130</v>
      </c>
      <c r="G534" s="8"/>
      <c r="H534" s="8"/>
      <c r="I534" s="13">
        <f t="shared" ref="I534:U534" si="137">I520*I300</f>
        <v>0</v>
      </c>
      <c r="J534" s="13">
        <f t="shared" si="137"/>
        <v>-619335.01124999998</v>
      </c>
      <c r="K534" s="13">
        <f t="shared" si="137"/>
        <v>-1266904.91178</v>
      </c>
      <c r="L534" s="13">
        <f t="shared" si="137"/>
        <v>-1288712.2914090001</v>
      </c>
      <c r="M534" s="13">
        <f t="shared" si="137"/>
        <v>-1314486.5372371799</v>
      </c>
      <c r="N534" s="13">
        <f t="shared" si="137"/>
        <v>-1340776.2679819237</v>
      </c>
      <c r="O534" s="13">
        <f t="shared" si="137"/>
        <v>-1371338.6201726345</v>
      </c>
      <c r="P534" s="13">
        <f t="shared" si="137"/>
        <v>-1394943.6292083932</v>
      </c>
      <c r="Q534" s="13">
        <f t="shared" si="137"/>
        <v>-1422842.5017925613</v>
      </c>
      <c r="R534" s="13">
        <f t="shared" si="137"/>
        <v>-1451299.3518284124</v>
      </c>
      <c r="S534" s="13">
        <f t="shared" si="137"/>
        <v>0</v>
      </c>
      <c r="T534" s="13">
        <f t="shared" si="137"/>
        <v>0</v>
      </c>
      <c r="U534" s="13">
        <f t="shared" si="137"/>
        <v>0</v>
      </c>
      <c r="X534" s="141"/>
    </row>
    <row r="535" spans="4:24" x14ac:dyDescent="0.2">
      <c r="D535" s="1" t="s">
        <v>13</v>
      </c>
      <c r="F535" s="8" t="s">
        <v>130</v>
      </c>
      <c r="G535" s="8"/>
      <c r="H535" s="8"/>
      <c r="I535" s="13">
        <f t="shared" ref="I535:U535" si="138">I520*I310</f>
        <v>0</v>
      </c>
      <c r="J535" s="13">
        <f t="shared" si="138"/>
        <v>-572592.74624999997</v>
      </c>
      <c r="K535" s="13">
        <f t="shared" si="138"/>
        <v>-1171289.44674</v>
      </c>
      <c r="L535" s="13">
        <f t="shared" si="138"/>
        <v>-1191450.9863970003</v>
      </c>
      <c r="M535" s="13">
        <f t="shared" si="138"/>
        <v>-1215280.00612494</v>
      </c>
      <c r="N535" s="13">
        <f t="shared" si="138"/>
        <v>-1239585.6062474388</v>
      </c>
      <c r="O535" s="13">
        <f t="shared" si="138"/>
        <v>-1267841.365819983</v>
      </c>
      <c r="P535" s="13">
        <f t="shared" si="138"/>
        <v>-1289664.8647398353</v>
      </c>
      <c r="Q535" s="13">
        <f t="shared" si="138"/>
        <v>-1315458.1620346322</v>
      </c>
      <c r="R535" s="13">
        <f t="shared" si="138"/>
        <v>-1341767.3252753248</v>
      </c>
      <c r="S535" s="13">
        <f t="shared" si="138"/>
        <v>0</v>
      </c>
      <c r="T535" s="13">
        <f t="shared" si="138"/>
        <v>0</v>
      </c>
      <c r="U535" s="13">
        <f t="shared" si="138"/>
        <v>0</v>
      </c>
      <c r="X535" s="141"/>
    </row>
    <row r="536" spans="4:24" x14ac:dyDescent="0.2">
      <c r="D536" s="1" t="s">
        <v>14</v>
      </c>
      <c r="F536" s="8" t="s">
        <v>130</v>
      </c>
      <c r="G536" s="8"/>
      <c r="H536" s="8"/>
      <c r="I536" s="13">
        <f t="shared" ref="I536:U536" si="139">I520*I320</f>
        <v>0</v>
      </c>
      <c r="J536" s="13">
        <f t="shared" si="139"/>
        <v>-584278.3125</v>
      </c>
      <c r="K536" s="13">
        <f t="shared" si="139"/>
        <v>-1195193.3130000001</v>
      </c>
      <c r="L536" s="13">
        <f t="shared" si="139"/>
        <v>-1215766.3126500002</v>
      </c>
      <c r="M536" s="13">
        <f t="shared" si="139"/>
        <v>-1240081.6389030002</v>
      </c>
      <c r="N536" s="13">
        <f t="shared" si="139"/>
        <v>-1264883.2716810601</v>
      </c>
      <c r="O536" s="13">
        <f t="shared" si="139"/>
        <v>-1293715.6794081461</v>
      </c>
      <c r="P536" s="13">
        <f t="shared" si="139"/>
        <v>-1315984.5558569748</v>
      </c>
      <c r="Q536" s="13">
        <f t="shared" si="139"/>
        <v>-1342304.2469741143</v>
      </c>
      <c r="R536" s="13">
        <f t="shared" si="139"/>
        <v>-1369150.3319135967</v>
      </c>
      <c r="S536" s="13">
        <f t="shared" si="139"/>
        <v>0</v>
      </c>
      <c r="T536" s="13">
        <f t="shared" si="139"/>
        <v>0</v>
      </c>
      <c r="U536" s="13">
        <f t="shared" si="139"/>
        <v>0</v>
      </c>
      <c r="X536" s="141"/>
    </row>
    <row r="537" spans="4:24" x14ac:dyDescent="0.2">
      <c r="D537" s="1" t="s">
        <v>15</v>
      </c>
      <c r="F537" s="8" t="s">
        <v>130</v>
      </c>
      <c r="I537" s="13">
        <f t="shared" ref="I537:U537" si="140">I520*I340</f>
        <v>0</v>
      </c>
      <c r="J537" s="13">
        <f t="shared" si="140"/>
        <v>-642706.14375000005</v>
      </c>
      <c r="K537" s="13">
        <f t="shared" si="140"/>
        <v>-1314712.6443</v>
      </c>
      <c r="L537" s="13">
        <f t="shared" si="140"/>
        <v>-1337342.9439150002</v>
      </c>
      <c r="M537" s="13">
        <f t="shared" si="140"/>
        <v>-1364089.8027933</v>
      </c>
      <c r="N537" s="13">
        <f t="shared" si="140"/>
        <v>-1391371.5988491662</v>
      </c>
      <c r="O537" s="13">
        <f t="shared" si="140"/>
        <v>-1423087.2473489605</v>
      </c>
      <c r="P537" s="13">
        <f t="shared" si="140"/>
        <v>-1447583.0114426722</v>
      </c>
      <c r="Q537" s="13">
        <f t="shared" si="140"/>
        <v>-1476534.6716715258</v>
      </c>
      <c r="R537" s="13">
        <f t="shared" si="140"/>
        <v>-1506065.3651049563</v>
      </c>
      <c r="S537" s="13">
        <f t="shared" si="140"/>
        <v>0</v>
      </c>
      <c r="T537" s="13">
        <f t="shared" si="140"/>
        <v>0</v>
      </c>
      <c r="U537" s="13">
        <f t="shared" si="140"/>
        <v>0</v>
      </c>
      <c r="X537" s="141"/>
    </row>
    <row r="538" spans="4:24" x14ac:dyDescent="0.2">
      <c r="D538" s="1" t="s">
        <v>3</v>
      </c>
      <c r="F538" s="8" t="s">
        <v>273</v>
      </c>
      <c r="G538" s="8"/>
      <c r="H538" s="8"/>
      <c r="I538" s="13">
        <f>I330*I470</f>
        <v>0</v>
      </c>
      <c r="J538" s="13">
        <f t="shared" ref="J538:U538" si="141">J330*J470</f>
        <v>-302959.125</v>
      </c>
      <c r="K538" s="13">
        <f t="shared" si="141"/>
        <v>-619729.86600000004</v>
      </c>
      <c r="L538" s="13">
        <f t="shared" si="141"/>
        <v>-630397.34730000002</v>
      </c>
      <c r="M538" s="13">
        <f t="shared" si="141"/>
        <v>-643005.29424600012</v>
      </c>
      <c r="N538" s="13">
        <f t="shared" si="141"/>
        <v>-655865.40013092011</v>
      </c>
      <c r="O538" s="13">
        <f t="shared" si="141"/>
        <v>-670815.53747089079</v>
      </c>
      <c r="P538" s="13">
        <f t="shared" si="141"/>
        <v>-682362.36229620932</v>
      </c>
      <c r="Q538" s="13">
        <f t="shared" si="141"/>
        <v>-696009.60954213352</v>
      </c>
      <c r="R538" s="13">
        <f t="shared" si="141"/>
        <v>-709929.80173297622</v>
      </c>
      <c r="S538" s="13">
        <f t="shared" si="141"/>
        <v>0</v>
      </c>
      <c r="T538" s="13">
        <f t="shared" si="141"/>
        <v>0</v>
      </c>
      <c r="U538" s="13">
        <f t="shared" si="141"/>
        <v>0</v>
      </c>
      <c r="X538" s="141"/>
    </row>
    <row r="539" spans="4:24" x14ac:dyDescent="0.2">
      <c r="D539" s="1" t="s">
        <v>16</v>
      </c>
      <c r="F539" s="8" t="s">
        <v>130</v>
      </c>
      <c r="G539" s="8"/>
      <c r="H539" s="8"/>
      <c r="I539" s="13">
        <f t="shared" ref="I539:U539" si="142">I520*I350</f>
        <v>0</v>
      </c>
      <c r="J539" s="13">
        <f t="shared" si="142"/>
        <v>-379780.90312500001</v>
      </c>
      <c r="K539" s="13">
        <f t="shared" si="142"/>
        <v>-776875.6534500001</v>
      </c>
      <c r="L539" s="13">
        <f t="shared" si="142"/>
        <v>-790248.10322250007</v>
      </c>
      <c r="M539" s="13">
        <f t="shared" si="142"/>
        <v>-806053.06528695009</v>
      </c>
      <c r="N539" s="13">
        <f t="shared" si="142"/>
        <v>-822174.12659268908</v>
      </c>
      <c r="O539" s="13">
        <f t="shared" si="142"/>
        <v>-840915.1916152949</v>
      </c>
      <c r="P539" s="13">
        <f t="shared" si="142"/>
        <v>-855389.96130703366</v>
      </c>
      <c r="Q539" s="13">
        <f t="shared" si="142"/>
        <v>-872497.76053317438</v>
      </c>
      <c r="R539" s="13">
        <f t="shared" si="142"/>
        <v>-889947.71574383776</v>
      </c>
      <c r="S539" s="13">
        <f t="shared" si="142"/>
        <v>0</v>
      </c>
      <c r="T539" s="13">
        <f t="shared" si="142"/>
        <v>0</v>
      </c>
      <c r="U539" s="13">
        <f t="shared" si="142"/>
        <v>0</v>
      </c>
      <c r="X539" s="141"/>
    </row>
    <row r="540" spans="4:24" x14ac:dyDescent="0.2">
      <c r="D540" s="1" t="s">
        <v>190</v>
      </c>
      <c r="F540" s="8" t="s">
        <v>130</v>
      </c>
      <c r="I540" s="13">
        <f t="shared" ref="I540:U540" si="143">I520*I360</f>
        <v>0</v>
      </c>
      <c r="J540" s="13">
        <f t="shared" si="143"/>
        <v>-350566.98749999999</v>
      </c>
      <c r="K540" s="13">
        <f t="shared" si="143"/>
        <v>-717115.9878</v>
      </c>
      <c r="L540" s="13">
        <f t="shared" si="143"/>
        <v>-729459.78759000008</v>
      </c>
      <c r="M540" s="13">
        <f t="shared" si="143"/>
        <v>-744048.98334179993</v>
      </c>
      <c r="N540" s="13">
        <f t="shared" si="143"/>
        <v>-758929.96300863603</v>
      </c>
      <c r="O540" s="13">
        <f t="shared" si="143"/>
        <v>-776229.40764488745</v>
      </c>
      <c r="P540" s="13">
        <f t="shared" si="143"/>
        <v>-789590.73351418483</v>
      </c>
      <c r="Q540" s="13">
        <f t="shared" si="143"/>
        <v>-805382.54818446853</v>
      </c>
      <c r="R540" s="13">
        <f t="shared" si="143"/>
        <v>-821490.19914815796</v>
      </c>
      <c r="S540" s="13">
        <f t="shared" si="143"/>
        <v>0</v>
      </c>
      <c r="T540" s="13">
        <f t="shared" si="143"/>
        <v>0</v>
      </c>
      <c r="U540" s="13">
        <f t="shared" si="143"/>
        <v>0</v>
      </c>
      <c r="X540" s="141"/>
    </row>
    <row r="541" spans="4:24" ht="5.0999999999999996" customHeight="1" x14ac:dyDescent="0.2">
      <c r="X541" s="141"/>
    </row>
    <row r="542" spans="4:24" x14ac:dyDescent="0.2">
      <c r="D542" s="20" t="s">
        <v>177</v>
      </c>
      <c r="E542" s="20"/>
      <c r="F542" s="20"/>
      <c r="G542" s="20"/>
      <c r="H542" s="20"/>
      <c r="I542" s="104">
        <f>SUM(I533:I541)</f>
        <v>0</v>
      </c>
      <c r="J542" s="104">
        <f t="shared" ref="J542:R542" si="144">SUM(J533:J541)</f>
        <v>-3452219.2293750001</v>
      </c>
      <c r="K542" s="104">
        <f t="shared" si="144"/>
        <v>-7061821.8230700009</v>
      </c>
      <c r="L542" s="104">
        <f t="shared" si="144"/>
        <v>-7183377.7724835007</v>
      </c>
      <c r="M542" s="104">
        <f t="shared" si="144"/>
        <v>-7327045.3279331708</v>
      </c>
      <c r="N542" s="104">
        <f t="shared" si="144"/>
        <v>-7473586.2344918335</v>
      </c>
      <c r="O542" s="104">
        <f t="shared" si="144"/>
        <v>-7643943.0494807977</v>
      </c>
      <c r="P542" s="104">
        <f t="shared" si="144"/>
        <v>-7775519.1183653045</v>
      </c>
      <c r="Q542" s="104">
        <f t="shared" si="144"/>
        <v>-7931029.50073261</v>
      </c>
      <c r="R542" s="104">
        <f t="shared" si="144"/>
        <v>-8089650.0907472624</v>
      </c>
      <c r="S542" s="104">
        <f>SUM(S533:S541)</f>
        <v>0</v>
      </c>
      <c r="T542" s="104">
        <f>SUM(T533:T541)</f>
        <v>0</v>
      </c>
      <c r="U542" s="104">
        <f>SUM(U533:U541)</f>
        <v>0</v>
      </c>
      <c r="X542" s="141"/>
    </row>
    <row r="543" spans="4:24" x14ac:dyDescent="0.2">
      <c r="X543" s="141"/>
    </row>
    <row r="544" spans="4:24" x14ac:dyDescent="0.2">
      <c r="D544" s="2" t="s">
        <v>179</v>
      </c>
      <c r="E544" s="2"/>
      <c r="X544" s="141"/>
    </row>
    <row r="545" spans="4:24" ht="5.0999999999999996" customHeight="1" x14ac:dyDescent="0.2">
      <c r="X545" s="141"/>
    </row>
    <row r="546" spans="4:24" x14ac:dyDescent="0.2">
      <c r="D546" s="1" t="s">
        <v>2</v>
      </c>
      <c r="F546" s="8" t="s">
        <v>81</v>
      </c>
      <c r="G546" s="8"/>
      <c r="H546" s="8"/>
      <c r="I546" s="13">
        <f t="shared" ref="I546:U546" si="145">I$370*$G$12*I$461</f>
        <v>0</v>
      </c>
      <c r="J546" s="13">
        <f t="shared" si="145"/>
        <v>-229500</v>
      </c>
      <c r="K546" s="13">
        <f t="shared" si="145"/>
        <v>-468180.00000000006</v>
      </c>
      <c r="L546" s="13">
        <f t="shared" si="145"/>
        <v>-477543.60000000003</v>
      </c>
      <c r="M546" s="13">
        <f t="shared" si="145"/>
        <v>-487094.47200000007</v>
      </c>
      <c r="N546" s="13">
        <f t="shared" si="145"/>
        <v>-496836.36144000007</v>
      </c>
      <c r="O546" s="13">
        <f t="shared" si="145"/>
        <v>-506773.08866880008</v>
      </c>
      <c r="P546" s="13">
        <f t="shared" si="145"/>
        <v>-516908.55044217606</v>
      </c>
      <c r="Q546" s="13">
        <f t="shared" si="145"/>
        <v>-527246.72145101964</v>
      </c>
      <c r="R546" s="13">
        <f t="shared" si="145"/>
        <v>-537791.65588004002</v>
      </c>
      <c r="S546" s="13">
        <f t="shared" si="145"/>
        <v>0</v>
      </c>
      <c r="T546" s="13">
        <f t="shared" si="145"/>
        <v>0</v>
      </c>
      <c r="U546" s="13">
        <f t="shared" si="145"/>
        <v>0</v>
      </c>
      <c r="X546" s="141"/>
    </row>
    <row r="547" spans="4:24" x14ac:dyDescent="0.2">
      <c r="D547" s="1" t="s">
        <v>1</v>
      </c>
      <c r="F547" s="8" t="s">
        <v>81</v>
      </c>
      <c r="G547" s="8"/>
      <c r="H547" s="8"/>
      <c r="I547" s="13">
        <f t="shared" ref="I547:U547" si="146">I$380*$G$12*I$461</f>
        <v>0</v>
      </c>
      <c r="J547" s="13">
        <f t="shared" si="146"/>
        <v>-7650</v>
      </c>
      <c r="K547" s="13">
        <f t="shared" si="146"/>
        <v>-15606.000000000002</v>
      </c>
      <c r="L547" s="13">
        <f t="shared" si="146"/>
        <v>-15918.12</v>
      </c>
      <c r="M547" s="13">
        <f t="shared" si="146"/>
        <v>-16236.482400000001</v>
      </c>
      <c r="N547" s="13">
        <f t="shared" si="146"/>
        <v>-16561.212048000001</v>
      </c>
      <c r="O547" s="13">
        <f t="shared" si="146"/>
        <v>-16892.436288960002</v>
      </c>
      <c r="P547" s="13">
        <f t="shared" si="146"/>
        <v>-17230.285014739202</v>
      </c>
      <c r="Q547" s="13">
        <f t="shared" si="146"/>
        <v>-17574.890715033984</v>
      </c>
      <c r="R547" s="13">
        <f t="shared" si="146"/>
        <v>-17926.388529334665</v>
      </c>
      <c r="S547" s="13">
        <f t="shared" si="146"/>
        <v>0</v>
      </c>
      <c r="T547" s="13">
        <f t="shared" si="146"/>
        <v>0</v>
      </c>
      <c r="U547" s="13">
        <f t="shared" si="146"/>
        <v>0</v>
      </c>
      <c r="X547" s="141"/>
    </row>
    <row r="548" spans="4:24" x14ac:dyDescent="0.2">
      <c r="D548" s="1" t="s">
        <v>17</v>
      </c>
      <c r="F548" s="8" t="s">
        <v>81</v>
      </c>
      <c r="G548" s="8"/>
      <c r="H548" s="8"/>
      <c r="I548" s="13">
        <f t="shared" ref="I548:U548" si="147">I390*$G$12*I$461</f>
        <v>0</v>
      </c>
      <c r="J548" s="13">
        <f t="shared" si="147"/>
        <v>-306000</v>
      </c>
      <c r="K548" s="13">
        <f t="shared" si="147"/>
        <v>-624240</v>
      </c>
      <c r="L548" s="13">
        <f t="shared" si="147"/>
        <v>-636724.80000000005</v>
      </c>
      <c r="M548" s="13">
        <f t="shared" si="147"/>
        <v>-649459.29600000009</v>
      </c>
      <c r="N548" s="13">
        <f t="shared" si="147"/>
        <v>-662448.48192000005</v>
      </c>
      <c r="O548" s="13">
        <f t="shared" si="147"/>
        <v>-675697.45155839995</v>
      </c>
      <c r="P548" s="13">
        <f t="shared" si="147"/>
        <v>-689211.40058956807</v>
      </c>
      <c r="Q548" s="13">
        <f t="shared" si="147"/>
        <v>-702995.62860135944</v>
      </c>
      <c r="R548" s="13">
        <f t="shared" si="147"/>
        <v>-717055.54117338662</v>
      </c>
      <c r="S548" s="13">
        <f t="shared" si="147"/>
        <v>0</v>
      </c>
      <c r="T548" s="13">
        <f t="shared" si="147"/>
        <v>0</v>
      </c>
      <c r="U548" s="13">
        <f t="shared" si="147"/>
        <v>0</v>
      </c>
      <c r="X548" s="141"/>
    </row>
    <row r="549" spans="4:24" ht="5.0999999999999996" customHeight="1" x14ac:dyDescent="0.2">
      <c r="X549" s="141"/>
    </row>
    <row r="550" spans="4:24" x14ac:dyDescent="0.2">
      <c r="D550" s="20" t="s">
        <v>180</v>
      </c>
      <c r="E550" s="20"/>
      <c r="F550" s="20"/>
      <c r="G550" s="20"/>
      <c r="H550" s="20"/>
      <c r="I550" s="104">
        <f t="shared" ref="I550:U550" si="148">SUM(I545:I549)</f>
        <v>0</v>
      </c>
      <c r="J550" s="104">
        <f t="shared" si="148"/>
        <v>-543150</v>
      </c>
      <c r="K550" s="104">
        <f t="shared" si="148"/>
        <v>-1108026</v>
      </c>
      <c r="L550" s="104">
        <f t="shared" si="148"/>
        <v>-1130186.52</v>
      </c>
      <c r="M550" s="104">
        <f t="shared" si="148"/>
        <v>-1152790.2504000003</v>
      </c>
      <c r="N550" s="104">
        <f t="shared" si="148"/>
        <v>-1175846.055408</v>
      </c>
      <c r="O550" s="104">
        <f t="shared" si="148"/>
        <v>-1199362.9765161599</v>
      </c>
      <c r="P550" s="104">
        <f t="shared" si="148"/>
        <v>-1223350.2360464833</v>
      </c>
      <c r="Q550" s="104">
        <f t="shared" si="148"/>
        <v>-1247817.2407674131</v>
      </c>
      <c r="R550" s="104">
        <f t="shared" si="148"/>
        <v>-1272773.5855827613</v>
      </c>
      <c r="S550" s="104">
        <f t="shared" si="148"/>
        <v>0</v>
      </c>
      <c r="T550" s="104">
        <f t="shared" si="148"/>
        <v>0</v>
      </c>
      <c r="U550" s="104">
        <f t="shared" si="148"/>
        <v>0</v>
      </c>
      <c r="X550" s="141"/>
    </row>
    <row r="551" spans="4:24" x14ac:dyDescent="0.2">
      <c r="X551" s="141"/>
    </row>
    <row r="552" spans="4:24" x14ac:dyDescent="0.2">
      <c r="D552" s="5" t="s">
        <v>5</v>
      </c>
      <c r="E552" s="5"/>
      <c r="F552" s="5"/>
      <c r="G552" s="5"/>
      <c r="H552" s="5"/>
      <c r="I552" s="340">
        <f t="shared" ref="I552:U552" si="149">SUM(I530, I542, I550)</f>
        <v>0</v>
      </c>
      <c r="J552" s="340">
        <f t="shared" si="149"/>
        <v>2994330.5831249999</v>
      </c>
      <c r="K552" s="340">
        <f t="shared" si="149"/>
        <v>6128205.5139300004</v>
      </c>
      <c r="L552" s="340">
        <f t="shared" si="149"/>
        <v>6230603.0773665011</v>
      </c>
      <c r="M552" s="340">
        <f t="shared" si="149"/>
        <v>6355215.1389138289</v>
      </c>
      <c r="N552" s="340">
        <f t="shared" si="149"/>
        <v>6482319.4416921064</v>
      </c>
      <c r="O552" s="340">
        <f t="shared" si="149"/>
        <v>6633366.731367155</v>
      </c>
      <c r="P552" s="340">
        <f t="shared" si="149"/>
        <v>6744205.1471364647</v>
      </c>
      <c r="Q552" s="340">
        <f t="shared" si="149"/>
        <v>6879089.250079195</v>
      </c>
      <c r="R552" s="340">
        <f t="shared" si="149"/>
        <v>7016671.0350807784</v>
      </c>
      <c r="S552" s="340">
        <f t="shared" si="149"/>
        <v>0</v>
      </c>
      <c r="T552" s="340">
        <f t="shared" si="149"/>
        <v>0</v>
      </c>
      <c r="U552" s="340">
        <f t="shared" si="149"/>
        <v>0</v>
      </c>
      <c r="X552" s="141"/>
    </row>
    <row r="553" spans="4:24" x14ac:dyDescent="0.2">
      <c r="X553" s="141"/>
    </row>
    <row r="554" spans="4:24" x14ac:dyDescent="0.2">
      <c r="D554" s="2" t="s">
        <v>45</v>
      </c>
      <c r="E554" s="2"/>
      <c r="X554" s="141"/>
    </row>
    <row r="555" spans="4:24" ht="5.0999999999999996" customHeight="1" x14ac:dyDescent="0.2">
      <c r="X555" s="141"/>
    </row>
    <row r="556" spans="4:24" x14ac:dyDescent="0.2">
      <c r="D556" s="1" t="s">
        <v>49</v>
      </c>
      <c r="I556" s="13">
        <f ca="1">IF(I428=1, $F$36, 0)</f>
        <v>21153002.747612201</v>
      </c>
      <c r="J556" s="13">
        <f t="shared" ref="J556:U556" si="150">IF(J428=1, -$F$36, 0)</f>
        <v>0</v>
      </c>
      <c r="K556" s="13">
        <f t="shared" si="150"/>
        <v>0</v>
      </c>
      <c r="L556" s="13">
        <f t="shared" si="150"/>
        <v>0</v>
      </c>
      <c r="M556" s="13">
        <f t="shared" si="150"/>
        <v>0</v>
      </c>
      <c r="N556" s="13">
        <f t="shared" si="150"/>
        <v>0</v>
      </c>
      <c r="O556" s="13">
        <f t="shared" si="150"/>
        <v>0</v>
      </c>
      <c r="P556" s="13">
        <f t="shared" si="150"/>
        <v>0</v>
      </c>
      <c r="Q556" s="13">
        <f t="shared" si="150"/>
        <v>0</v>
      </c>
      <c r="R556" s="13">
        <f t="shared" si="150"/>
        <v>0</v>
      </c>
      <c r="S556" s="13">
        <f t="shared" si="150"/>
        <v>0</v>
      </c>
      <c r="T556" s="13">
        <f t="shared" si="150"/>
        <v>0</v>
      </c>
      <c r="U556" s="13">
        <f t="shared" si="150"/>
        <v>0</v>
      </c>
      <c r="X556" s="141"/>
    </row>
    <row r="557" spans="4:24" x14ac:dyDescent="0.2">
      <c r="D557" s="1" t="s">
        <v>90</v>
      </c>
      <c r="I557" s="13">
        <f t="shared" ref="I557:U557" ca="1" si="151">I479</f>
        <v>32904670.94073008</v>
      </c>
      <c r="J557" s="13">
        <f t="shared" ca="1" si="151"/>
        <v>16452335.47036504</v>
      </c>
      <c r="K557" s="13">
        <f t="shared" ca="1" si="151"/>
        <v>0</v>
      </c>
      <c r="L557" s="13">
        <f t="shared" ca="1" si="151"/>
        <v>0</v>
      </c>
      <c r="M557" s="13">
        <f t="shared" ca="1" si="151"/>
        <v>0</v>
      </c>
      <c r="N557" s="13">
        <f t="shared" ca="1" si="151"/>
        <v>0</v>
      </c>
      <c r="O557" s="13">
        <f t="shared" ca="1" si="151"/>
        <v>0</v>
      </c>
      <c r="P557" s="13">
        <f t="shared" ca="1" si="151"/>
        <v>0</v>
      </c>
      <c r="Q557" s="13">
        <f t="shared" ca="1" si="151"/>
        <v>0</v>
      </c>
      <c r="R557" s="13">
        <f t="shared" ca="1" si="151"/>
        <v>0</v>
      </c>
      <c r="S557" s="13">
        <f t="shared" ca="1" si="151"/>
        <v>0</v>
      </c>
      <c r="T557" s="13">
        <f t="shared" ca="1" si="151"/>
        <v>0</v>
      </c>
      <c r="U557" s="13">
        <f t="shared" ca="1" si="151"/>
        <v>0</v>
      </c>
      <c r="X557" s="141"/>
    </row>
    <row r="558" spans="4:24" x14ac:dyDescent="0.2">
      <c r="D558" s="1" t="s">
        <v>220</v>
      </c>
      <c r="I558" s="13">
        <f t="shared" ref="I558:U558" ca="1" si="152">IF(I435=1, $G$125, 0)</f>
        <v>-740355.09616642678</v>
      </c>
      <c r="J558" s="13">
        <f t="shared" si="152"/>
        <v>0</v>
      </c>
      <c r="K558" s="13">
        <f t="shared" si="152"/>
        <v>0</v>
      </c>
      <c r="L558" s="13">
        <f t="shared" si="152"/>
        <v>0</v>
      </c>
      <c r="M558" s="13">
        <f t="shared" si="152"/>
        <v>0</v>
      </c>
      <c r="N558" s="13">
        <f t="shared" si="152"/>
        <v>0</v>
      </c>
      <c r="O558" s="13">
        <f t="shared" si="152"/>
        <v>0</v>
      </c>
      <c r="P558" s="13">
        <f t="shared" si="152"/>
        <v>0</v>
      </c>
      <c r="Q558" s="13">
        <f t="shared" si="152"/>
        <v>0</v>
      </c>
      <c r="R558" s="13">
        <f t="shared" si="152"/>
        <v>0</v>
      </c>
      <c r="S558" s="13">
        <f t="shared" si="152"/>
        <v>0</v>
      </c>
      <c r="T558" s="13">
        <f t="shared" si="152"/>
        <v>0</v>
      </c>
      <c r="U558" s="13">
        <f t="shared" si="152"/>
        <v>0</v>
      </c>
      <c r="X558" s="141"/>
    </row>
    <row r="559" spans="4:24" x14ac:dyDescent="0.2">
      <c r="D559" s="1" t="s">
        <v>41</v>
      </c>
      <c r="I559" s="13">
        <f t="shared" ref="I559:U559" si="153">IF(I$429=1, $G$60, 0)</f>
        <v>-1560000</v>
      </c>
      <c r="J559" s="13">
        <f t="shared" si="153"/>
        <v>0</v>
      </c>
      <c r="K559" s="13">
        <f t="shared" si="153"/>
        <v>0</v>
      </c>
      <c r="L559" s="13">
        <f t="shared" si="153"/>
        <v>0</v>
      </c>
      <c r="M559" s="13">
        <f t="shared" si="153"/>
        <v>0</v>
      </c>
      <c r="N559" s="13">
        <f t="shared" si="153"/>
        <v>0</v>
      </c>
      <c r="O559" s="13">
        <f t="shared" si="153"/>
        <v>0</v>
      </c>
      <c r="P559" s="13">
        <f t="shared" si="153"/>
        <v>0</v>
      </c>
      <c r="Q559" s="13">
        <f t="shared" si="153"/>
        <v>0</v>
      </c>
      <c r="R559" s="13">
        <f t="shared" si="153"/>
        <v>0</v>
      </c>
      <c r="S559" s="13">
        <f t="shared" si="153"/>
        <v>0</v>
      </c>
      <c r="T559" s="13">
        <f t="shared" si="153"/>
        <v>0</v>
      </c>
      <c r="U559" s="13">
        <f t="shared" si="153"/>
        <v>0</v>
      </c>
      <c r="X559" s="141"/>
    </row>
    <row r="560" spans="4:24" x14ac:dyDescent="0.2">
      <c r="D560" s="1" t="s">
        <v>42</v>
      </c>
      <c r="I560" s="13">
        <f t="shared" ref="I560:U560" ca="1" si="154">$K$104*I416</f>
        <v>-43869000</v>
      </c>
      <c r="J560" s="13">
        <f t="shared" ca="1" si="154"/>
        <v>-21934500</v>
      </c>
      <c r="K560" s="13">
        <f t="shared" ca="1" si="154"/>
        <v>0</v>
      </c>
      <c r="L560" s="13">
        <f t="shared" ca="1" si="154"/>
        <v>0</v>
      </c>
      <c r="M560" s="13">
        <f t="shared" ca="1" si="154"/>
        <v>0</v>
      </c>
      <c r="N560" s="13">
        <f t="shared" ca="1" si="154"/>
        <v>0</v>
      </c>
      <c r="O560" s="13">
        <f t="shared" ca="1" si="154"/>
        <v>0</v>
      </c>
      <c r="P560" s="13">
        <f t="shared" ca="1" si="154"/>
        <v>0</v>
      </c>
      <c r="Q560" s="13">
        <f t="shared" ca="1" si="154"/>
        <v>0</v>
      </c>
      <c r="R560" s="13">
        <f t="shared" ca="1" si="154"/>
        <v>0</v>
      </c>
      <c r="S560" s="13">
        <f t="shared" ca="1" si="154"/>
        <v>0</v>
      </c>
      <c r="T560" s="13">
        <f t="shared" ca="1" si="154"/>
        <v>0</v>
      </c>
      <c r="U560" s="13">
        <f t="shared" ca="1" si="154"/>
        <v>0</v>
      </c>
      <c r="X560" s="141"/>
    </row>
    <row r="561" spans="4:24" x14ac:dyDescent="0.2">
      <c r="D561" s="1" t="s">
        <v>95</v>
      </c>
      <c r="I561" s="13">
        <f t="shared" ref="I561:U561" ca="1" si="155">-I481</f>
        <v>-1233925.1602773783</v>
      </c>
      <c r="J561" s="13">
        <f t="shared" ca="1" si="155"/>
        <v>-925443.87020803359</v>
      </c>
      <c r="K561" s="13">
        <f t="shared" ca="1" si="155"/>
        <v>0</v>
      </c>
      <c r="L561" s="13">
        <f t="shared" ca="1" si="155"/>
        <v>0</v>
      </c>
      <c r="M561" s="13">
        <f t="shared" ca="1" si="155"/>
        <v>0</v>
      </c>
      <c r="N561" s="13">
        <f t="shared" ca="1" si="155"/>
        <v>0</v>
      </c>
      <c r="O561" s="13">
        <f t="shared" ca="1" si="155"/>
        <v>0</v>
      </c>
      <c r="P561" s="13">
        <f t="shared" ca="1" si="155"/>
        <v>0</v>
      </c>
      <c r="Q561" s="13">
        <f t="shared" ca="1" si="155"/>
        <v>0</v>
      </c>
      <c r="R561" s="13">
        <f t="shared" ca="1" si="155"/>
        <v>0</v>
      </c>
      <c r="S561" s="13">
        <f t="shared" ca="1" si="155"/>
        <v>0</v>
      </c>
      <c r="T561" s="13">
        <f t="shared" ca="1" si="155"/>
        <v>0</v>
      </c>
      <c r="U561" s="13">
        <f t="shared" ca="1" si="155"/>
        <v>0</v>
      </c>
      <c r="X561" s="141"/>
    </row>
    <row r="562" spans="4:24" x14ac:dyDescent="0.2">
      <c r="D562" s="1" t="s">
        <v>91</v>
      </c>
      <c r="I562" s="13">
        <f t="shared" ref="I562:U562" si="156">I482</f>
        <v>0</v>
      </c>
      <c r="J562" s="13">
        <f t="shared" ca="1" si="156"/>
        <v>-49357006.41109512</v>
      </c>
      <c r="K562" s="13">
        <f t="shared" si="156"/>
        <v>0</v>
      </c>
      <c r="L562" s="13">
        <f t="shared" si="156"/>
        <v>0</v>
      </c>
      <c r="M562" s="13">
        <f t="shared" si="156"/>
        <v>0</v>
      </c>
      <c r="N562" s="13">
        <f t="shared" si="156"/>
        <v>0</v>
      </c>
      <c r="O562" s="13">
        <f t="shared" si="156"/>
        <v>0</v>
      </c>
      <c r="P562" s="13">
        <f t="shared" si="156"/>
        <v>0</v>
      </c>
      <c r="Q562" s="13">
        <f t="shared" si="156"/>
        <v>0</v>
      </c>
      <c r="R562" s="13">
        <f t="shared" si="156"/>
        <v>0</v>
      </c>
      <c r="S562" s="13">
        <f t="shared" si="156"/>
        <v>0</v>
      </c>
      <c r="T562" s="13">
        <f t="shared" si="156"/>
        <v>0</v>
      </c>
      <c r="U562" s="13">
        <f t="shared" si="156"/>
        <v>0</v>
      </c>
      <c r="X562" s="141"/>
    </row>
    <row r="563" spans="4:24" x14ac:dyDescent="0.2">
      <c r="D563" s="1" t="s">
        <v>78</v>
      </c>
      <c r="I563" s="13">
        <f t="shared" ref="I563:U563" si="157">I489</f>
        <v>0</v>
      </c>
      <c r="J563" s="13">
        <f t="shared" ca="1" si="157"/>
        <v>49357006.41109512</v>
      </c>
      <c r="K563" s="13">
        <f t="shared" si="157"/>
        <v>0</v>
      </c>
      <c r="L563" s="13">
        <f t="shared" si="157"/>
        <v>0</v>
      </c>
      <c r="M563" s="13">
        <f t="shared" si="157"/>
        <v>0</v>
      </c>
      <c r="N563" s="13">
        <f t="shared" si="157"/>
        <v>0</v>
      </c>
      <c r="O563" s="13">
        <f t="shared" si="157"/>
        <v>0</v>
      </c>
      <c r="P563" s="13">
        <f t="shared" si="157"/>
        <v>0</v>
      </c>
      <c r="Q563" s="13">
        <f t="shared" si="157"/>
        <v>0</v>
      </c>
      <c r="R563" s="13">
        <f t="shared" si="157"/>
        <v>0</v>
      </c>
      <c r="S563" s="13">
        <f t="shared" si="157"/>
        <v>0</v>
      </c>
      <c r="T563" s="13">
        <f t="shared" si="157"/>
        <v>0</v>
      </c>
      <c r="U563" s="13">
        <f t="shared" si="157"/>
        <v>0</v>
      </c>
      <c r="X563" s="141"/>
    </row>
    <row r="564" spans="4:24" x14ac:dyDescent="0.2">
      <c r="D564" s="1" t="s">
        <v>221</v>
      </c>
      <c r="I564" s="13">
        <f t="shared" ref="I564:U564" si="158">IF(I443=1, $G$143, 0)</f>
        <v>0</v>
      </c>
      <c r="J564" s="13">
        <f t="shared" ca="1" si="158"/>
        <v>-246785.0320554756</v>
      </c>
      <c r="K564" s="13">
        <f t="shared" si="158"/>
        <v>0</v>
      </c>
      <c r="L564" s="13">
        <f t="shared" si="158"/>
        <v>0</v>
      </c>
      <c r="M564" s="13">
        <f t="shared" si="158"/>
        <v>0</v>
      </c>
      <c r="N564" s="13">
        <f t="shared" si="158"/>
        <v>0</v>
      </c>
      <c r="O564" s="13">
        <f t="shared" si="158"/>
        <v>0</v>
      </c>
      <c r="P564" s="13">
        <f t="shared" si="158"/>
        <v>0</v>
      </c>
      <c r="Q564" s="13">
        <f t="shared" si="158"/>
        <v>0</v>
      </c>
      <c r="R564" s="13">
        <f t="shared" si="158"/>
        <v>0</v>
      </c>
      <c r="S564" s="13">
        <f t="shared" si="158"/>
        <v>0</v>
      </c>
      <c r="T564" s="13">
        <f t="shared" si="158"/>
        <v>0</v>
      </c>
      <c r="U564" s="13">
        <f t="shared" si="158"/>
        <v>0</v>
      </c>
      <c r="X564" s="141"/>
    </row>
    <row r="565" spans="4:24" x14ac:dyDescent="0.2">
      <c r="D565" s="1" t="s">
        <v>96</v>
      </c>
      <c r="I565" s="13">
        <f t="shared" ref="I565:U565" ca="1" si="159">-I492</f>
        <v>0</v>
      </c>
      <c r="J565" s="13">
        <f t="shared" ca="1" si="159"/>
        <v>-921944.65983241913</v>
      </c>
      <c r="K565" s="13">
        <f t="shared" ca="1" si="159"/>
        <v>-1818244.0554976379</v>
      </c>
      <c r="L565" s="13">
        <f t="shared" ca="1" si="159"/>
        <v>-1782964.9505235553</v>
      </c>
      <c r="M565" s="13">
        <f t="shared" ca="1" si="159"/>
        <v>-1746339.9020943176</v>
      </c>
      <c r="N565" s="13">
        <f t="shared" ca="1" si="159"/>
        <v>-1708317.5607273967</v>
      </c>
      <c r="O565" s="13">
        <f t="shared" ca="1" si="159"/>
        <v>-1668844.6178911333</v>
      </c>
      <c r="P565" s="13">
        <f t="shared" ca="1" si="159"/>
        <v>-1627865.7312644818</v>
      </c>
      <c r="Q565" s="13">
        <f t="shared" ca="1" si="159"/>
        <v>-1585323.4471453142</v>
      </c>
      <c r="R565" s="13">
        <f t="shared" ca="1" si="159"/>
        <v>-1541158.1198985046</v>
      </c>
      <c r="S565" s="13">
        <f t="shared" ca="1" si="159"/>
        <v>0</v>
      </c>
      <c r="T565" s="13">
        <f t="shared" ca="1" si="159"/>
        <v>0</v>
      </c>
      <c r="U565" s="13">
        <f t="shared" ca="1" si="159"/>
        <v>0</v>
      </c>
      <c r="X565" s="141"/>
    </row>
    <row r="566" spans="4:24" x14ac:dyDescent="0.2">
      <c r="D566" s="1" t="s">
        <v>79</v>
      </c>
      <c r="I566" s="13">
        <f t="shared" ref="I566:U566" ca="1" si="160">SUM(I493, I494)</f>
        <v>0</v>
      </c>
      <c r="J566" s="13">
        <f t="shared" ca="1" si="160"/>
        <v>-449535.29350579792</v>
      </c>
      <c r="K566" s="13">
        <f t="shared" ca="1" si="160"/>
        <v>-924715.85117879603</v>
      </c>
      <c r="L566" s="13">
        <f t="shared" ca="1" si="160"/>
        <v>-959994.95615287859</v>
      </c>
      <c r="M566" s="13">
        <f t="shared" ca="1" si="160"/>
        <v>-996620.00458211626</v>
      </c>
      <c r="N566" s="13">
        <f t="shared" ca="1" si="160"/>
        <v>-1034642.3459490372</v>
      </c>
      <c r="O566" s="13">
        <f t="shared" ca="1" si="160"/>
        <v>-1074115.2887853007</v>
      </c>
      <c r="P566" s="13">
        <f t="shared" ca="1" si="160"/>
        <v>-1115094.1754119522</v>
      </c>
      <c r="Q566" s="13">
        <f t="shared" ca="1" si="160"/>
        <v>-1157636.4595311198</v>
      </c>
      <c r="R566" s="13">
        <f t="shared" ca="1" si="160"/>
        <v>-41644652.035997987</v>
      </c>
      <c r="S566" s="13">
        <f t="shared" ca="1" si="160"/>
        <v>0</v>
      </c>
      <c r="T566" s="13">
        <f t="shared" ca="1" si="160"/>
        <v>0</v>
      </c>
      <c r="U566" s="13">
        <f t="shared" ca="1" si="160"/>
        <v>0</v>
      </c>
      <c r="X566" s="141"/>
    </row>
    <row r="567" spans="4:24" x14ac:dyDescent="0.2">
      <c r="D567" s="1" t="s">
        <v>46</v>
      </c>
      <c r="I567" s="13">
        <f t="shared" ref="I567:Q567" si="161">IF(I453=1, (I$552/I461)/$G$158, 0)</f>
        <v>0</v>
      </c>
      <c r="J567" s="13">
        <f t="shared" si="161"/>
        <v>0</v>
      </c>
      <c r="K567" s="13">
        <f t="shared" si="161"/>
        <v>0</v>
      </c>
      <c r="L567" s="13">
        <f t="shared" si="161"/>
        <v>0</v>
      </c>
      <c r="M567" s="13">
        <f t="shared" si="161"/>
        <v>0</v>
      </c>
      <c r="N567" s="13">
        <f t="shared" si="161"/>
        <v>0</v>
      </c>
      <c r="O567" s="13">
        <f t="shared" si="161"/>
        <v>0</v>
      </c>
      <c r="P567" s="13">
        <f t="shared" si="161"/>
        <v>0</v>
      </c>
      <c r="Q567" s="13">
        <f t="shared" si="161"/>
        <v>0</v>
      </c>
      <c r="R567" s="13">
        <f>IF(R453=1, (R$552/R461)/$G$158, 0)</f>
        <v>70166710.350807786</v>
      </c>
      <c r="S567" s="13">
        <f t="shared" ref="S567:U567" si="162">IF(S453=1, (S$552/S461)/$G$158, 0)</f>
        <v>0</v>
      </c>
      <c r="T567" s="13">
        <f t="shared" si="162"/>
        <v>0</v>
      </c>
      <c r="U567" s="13">
        <f t="shared" si="162"/>
        <v>0</v>
      </c>
      <c r="X567" s="141"/>
    </row>
    <row r="568" spans="4:24" x14ac:dyDescent="0.2">
      <c r="D568" s="1" t="s">
        <v>55</v>
      </c>
      <c r="I568" s="13">
        <f t="shared" ref="I568:U568" si="163">I$567*$G$168</f>
        <v>0</v>
      </c>
      <c r="J568" s="13">
        <f t="shared" si="163"/>
        <v>0</v>
      </c>
      <c r="K568" s="13">
        <f t="shared" si="163"/>
        <v>0</v>
      </c>
      <c r="L568" s="13">
        <f t="shared" si="163"/>
        <v>0</v>
      </c>
      <c r="M568" s="13">
        <f t="shared" si="163"/>
        <v>0</v>
      </c>
      <c r="N568" s="13">
        <f t="shared" si="163"/>
        <v>0</v>
      </c>
      <c r="O568" s="13">
        <f t="shared" si="163"/>
        <v>0</v>
      </c>
      <c r="P568" s="13">
        <f t="shared" si="163"/>
        <v>0</v>
      </c>
      <c r="Q568" s="13">
        <f t="shared" si="163"/>
        <v>0</v>
      </c>
      <c r="R568" s="13">
        <f t="shared" si="163"/>
        <v>-2806668.4140323116</v>
      </c>
      <c r="S568" s="13">
        <f t="shared" si="163"/>
        <v>0</v>
      </c>
      <c r="T568" s="13">
        <f t="shared" si="163"/>
        <v>0</v>
      </c>
      <c r="U568" s="13">
        <f t="shared" si="163"/>
        <v>0</v>
      </c>
      <c r="X568" s="141"/>
    </row>
    <row r="569" spans="4:24" x14ac:dyDescent="0.2">
      <c r="D569" s="1" t="s">
        <v>300</v>
      </c>
      <c r="I569" s="13">
        <f t="shared" ref="I569:Q569" si="164">IF(I453=1, SUM(-H473, I552, SUM(I556:I568)), 0)</f>
        <v>0</v>
      </c>
      <c r="J569" s="13">
        <f t="shared" si="164"/>
        <v>0</v>
      </c>
      <c r="K569" s="13">
        <f t="shared" si="164"/>
        <v>0</v>
      </c>
      <c r="L569" s="13">
        <f t="shared" si="164"/>
        <v>0</v>
      </c>
      <c r="M569" s="13">
        <f t="shared" si="164"/>
        <v>0</v>
      </c>
      <c r="N569" s="13">
        <f t="shared" si="164"/>
        <v>0</v>
      </c>
      <c r="O569" s="13">
        <f t="shared" si="164"/>
        <v>0</v>
      </c>
      <c r="P569" s="13">
        <f t="shared" si="164"/>
        <v>0</v>
      </c>
      <c r="Q569" s="13">
        <f t="shared" si="164"/>
        <v>0</v>
      </c>
      <c r="R569" s="13">
        <f ca="1">R504</f>
        <v>-59066038.399460942</v>
      </c>
      <c r="S569" s="13">
        <f>IF(S453=1, SUM(-R473, S552, SUM(S556:S568)), 0)</f>
        <v>0</v>
      </c>
      <c r="T569" s="13">
        <f>IF(T453=1, SUM(-S473, T552, SUM(T556:T568)), 0)</f>
        <v>0</v>
      </c>
      <c r="U569" s="13">
        <f>IF(U453=1, SUM(-T473, U552, SUM(U556:U568)), 0)</f>
        <v>0</v>
      </c>
      <c r="X569" s="141"/>
    </row>
    <row r="570" spans="4:24" ht="5.0999999999999996" customHeight="1" x14ac:dyDescent="0.2">
      <c r="X570" s="141"/>
    </row>
    <row r="571" spans="4:24" x14ac:dyDescent="0.2">
      <c r="D571" s="20" t="s">
        <v>157</v>
      </c>
      <c r="E571" s="20"/>
      <c r="F571" s="20"/>
      <c r="G571" s="20"/>
      <c r="H571" s="20"/>
      <c r="I571" s="104">
        <f t="shared" ref="I571:U571" ca="1" si="165">SUM(I555:I570)</f>
        <v>6654393.4318984784</v>
      </c>
      <c r="J571" s="104">
        <f t="shared" ca="1" si="165"/>
        <v>-8025873.3852366852</v>
      </c>
      <c r="K571" s="104">
        <f t="shared" ca="1" si="165"/>
        <v>-2742959.906676434</v>
      </c>
      <c r="L571" s="104">
        <f t="shared" ca="1" si="165"/>
        <v>-2742959.906676434</v>
      </c>
      <c r="M571" s="104">
        <f t="shared" ca="1" si="165"/>
        <v>-2742959.906676434</v>
      </c>
      <c r="N571" s="104">
        <f t="shared" ca="1" si="165"/>
        <v>-2742959.906676434</v>
      </c>
      <c r="O571" s="104">
        <f t="shared" ca="1" si="165"/>
        <v>-2742959.906676434</v>
      </c>
      <c r="P571" s="104">
        <f t="shared" ca="1" si="165"/>
        <v>-2742959.906676434</v>
      </c>
      <c r="Q571" s="104">
        <f t="shared" ca="1" si="165"/>
        <v>-2742959.906676434</v>
      </c>
      <c r="R571" s="104">
        <f t="shared" ca="1" si="165"/>
        <v>-34891806.618581958</v>
      </c>
      <c r="S571" s="104">
        <f t="shared" ca="1" si="165"/>
        <v>0</v>
      </c>
      <c r="T571" s="104">
        <f t="shared" ca="1" si="165"/>
        <v>0</v>
      </c>
      <c r="U571" s="104">
        <f t="shared" ca="1" si="165"/>
        <v>0</v>
      </c>
      <c r="X571" s="141"/>
    </row>
    <row r="572" spans="4:24" x14ac:dyDescent="0.2">
      <c r="X572" s="141"/>
    </row>
    <row r="573" spans="4:24" x14ac:dyDescent="0.2">
      <c r="D573" s="102" t="s">
        <v>263</v>
      </c>
      <c r="E573" s="102"/>
      <c r="F573" s="102"/>
      <c r="G573" s="102"/>
      <c r="H573" s="102"/>
      <c r="I573" s="123">
        <f t="shared" ref="I573:U573" ca="1" si="166">SUM(I552, I571)</f>
        <v>6654393.4318984784</v>
      </c>
      <c r="J573" s="123">
        <f t="shared" ca="1" si="166"/>
        <v>-5031542.8021116853</v>
      </c>
      <c r="K573" s="123">
        <f t="shared" ca="1" si="166"/>
        <v>3385245.6072535664</v>
      </c>
      <c r="L573" s="123">
        <f t="shared" ca="1" si="166"/>
        <v>3487643.1706900671</v>
      </c>
      <c r="M573" s="123">
        <f t="shared" ca="1" si="166"/>
        <v>3612255.2322373949</v>
      </c>
      <c r="N573" s="123">
        <f t="shared" ca="1" si="166"/>
        <v>3739359.5350156724</v>
      </c>
      <c r="O573" s="123">
        <f t="shared" ca="1" si="166"/>
        <v>3890406.824690721</v>
      </c>
      <c r="P573" s="123">
        <f t="shared" ca="1" si="166"/>
        <v>4001245.2404600307</v>
      </c>
      <c r="Q573" s="123">
        <f t="shared" ca="1" si="166"/>
        <v>4136129.343402761</v>
      </c>
      <c r="R573" s="123">
        <f t="shared" ca="1" si="166"/>
        <v>-27875135.583501179</v>
      </c>
      <c r="S573" s="123">
        <f t="shared" ca="1" si="166"/>
        <v>0</v>
      </c>
      <c r="T573" s="123">
        <f t="shared" ca="1" si="166"/>
        <v>0</v>
      </c>
      <c r="U573" s="123">
        <f t="shared" ca="1" si="166"/>
        <v>0</v>
      </c>
      <c r="X573" s="141"/>
    </row>
    <row r="574" spans="4:24" x14ac:dyDescent="0.2">
      <c r="X574" s="141"/>
    </row>
    <row r="575" spans="4:24" x14ac:dyDescent="0.2">
      <c r="D575" s="102" t="s">
        <v>264</v>
      </c>
      <c r="E575" s="102"/>
      <c r="F575" s="102"/>
      <c r="G575" s="102"/>
      <c r="H575" s="102"/>
      <c r="I575" s="123">
        <f ca="1">I573-I556-I569</f>
        <v>-14498609.315713722</v>
      </c>
      <c r="J575" s="123">
        <f t="shared" ref="J575:U575" ca="1" si="167">J573-J556-J569</f>
        <v>-5031542.8021116853</v>
      </c>
      <c r="K575" s="123">
        <f t="shared" ca="1" si="167"/>
        <v>3385245.6072535664</v>
      </c>
      <c r="L575" s="123">
        <f t="shared" ca="1" si="167"/>
        <v>3487643.1706900671</v>
      </c>
      <c r="M575" s="123">
        <f t="shared" ca="1" si="167"/>
        <v>3612255.2322373949</v>
      </c>
      <c r="N575" s="123">
        <f t="shared" ca="1" si="167"/>
        <v>3739359.5350156724</v>
      </c>
      <c r="O575" s="123">
        <f t="shared" ca="1" si="167"/>
        <v>3890406.824690721</v>
      </c>
      <c r="P575" s="123">
        <f t="shared" ca="1" si="167"/>
        <v>4001245.2404600307</v>
      </c>
      <c r="Q575" s="123">
        <f t="shared" ca="1" si="167"/>
        <v>4136129.343402761</v>
      </c>
      <c r="R575" s="123">
        <f t="shared" ca="1" si="167"/>
        <v>31190902.815959763</v>
      </c>
      <c r="S575" s="123">
        <f t="shared" ca="1" si="167"/>
        <v>0</v>
      </c>
      <c r="T575" s="123">
        <f t="shared" ca="1" si="167"/>
        <v>0</v>
      </c>
      <c r="U575" s="123">
        <f t="shared" ca="1" si="167"/>
        <v>0</v>
      </c>
      <c r="X575" s="141"/>
    </row>
    <row r="576" spans="4:24" x14ac:dyDescent="0.2">
      <c r="X576" s="141"/>
    </row>
    <row r="577" spans="2:24" x14ac:dyDescent="0.2">
      <c r="D577" s="102" t="s">
        <v>265</v>
      </c>
      <c r="E577" s="102"/>
      <c r="F577" s="102"/>
      <c r="G577" s="102"/>
      <c r="H577" s="102"/>
      <c r="I577" s="309">
        <f t="shared" ref="I577:U577" ca="1" si="168">I575-SUM(I557, I558, I561, I562, I563, I564, I565, I566)</f>
        <v>-45429000</v>
      </c>
      <c r="J577" s="309">
        <f t="shared" ca="1" si="168"/>
        <v>-18940169.416875001</v>
      </c>
      <c r="K577" s="309">
        <f t="shared" ca="1" si="168"/>
        <v>6128205.5139300004</v>
      </c>
      <c r="L577" s="309">
        <f t="shared" ca="1" si="168"/>
        <v>6230603.0773665011</v>
      </c>
      <c r="M577" s="309">
        <f t="shared" ca="1" si="168"/>
        <v>6355215.1389138289</v>
      </c>
      <c r="N577" s="309">
        <f t="shared" ca="1" si="168"/>
        <v>6482319.4416921064</v>
      </c>
      <c r="O577" s="309">
        <f t="shared" ca="1" si="168"/>
        <v>6633366.731367155</v>
      </c>
      <c r="P577" s="309">
        <f t="shared" ca="1" si="168"/>
        <v>6744205.1471364647</v>
      </c>
      <c r="Q577" s="309">
        <f t="shared" ca="1" si="168"/>
        <v>6879089.250079195</v>
      </c>
      <c r="R577" s="309">
        <f t="shared" ca="1" si="168"/>
        <v>74376712.971856251</v>
      </c>
      <c r="S577" s="309">
        <f t="shared" ca="1" si="168"/>
        <v>0</v>
      </c>
      <c r="T577" s="309">
        <f t="shared" ca="1" si="168"/>
        <v>0</v>
      </c>
      <c r="U577" s="309">
        <f t="shared" ca="1" si="168"/>
        <v>0</v>
      </c>
      <c r="X577" s="141"/>
    </row>
    <row r="578" spans="2:24" x14ac:dyDescent="0.2">
      <c r="X578" s="141"/>
    </row>
    <row r="579" spans="2:24" x14ac:dyDescent="0.2">
      <c r="B579" s="18" t="s">
        <v>225</v>
      </c>
      <c r="C579" s="18"/>
      <c r="D579" s="18"/>
      <c r="J579" s="107"/>
      <c r="K579" s="110"/>
      <c r="X579" s="141"/>
    </row>
    <row r="580" spans="2:24" x14ac:dyDescent="0.2">
      <c r="J580" s="110"/>
      <c r="X580" s="141"/>
    </row>
    <row r="581" spans="2:24" ht="15" x14ac:dyDescent="0.2">
      <c r="D581" s="225"/>
      <c r="E581" s="225"/>
      <c r="F581" s="225"/>
      <c r="G581" s="225"/>
      <c r="H581" s="226"/>
      <c r="I581" s="99" t="s">
        <v>25</v>
      </c>
      <c r="J581" s="99"/>
      <c r="K581" s="99"/>
      <c r="L581" s="99"/>
      <c r="M581" s="99"/>
      <c r="N581" s="99"/>
      <c r="O581" s="99"/>
      <c r="P581" s="99"/>
      <c r="Q581" s="99"/>
      <c r="R581" s="99"/>
      <c r="S581" s="99"/>
      <c r="T581" s="99"/>
      <c r="U581" s="99"/>
      <c r="X581" s="141"/>
    </row>
    <row r="582" spans="2:24" x14ac:dyDescent="0.2">
      <c r="D582" s="225"/>
      <c r="E582" s="225"/>
      <c r="F582" s="180"/>
      <c r="G582" s="225"/>
      <c r="H582" s="226"/>
      <c r="I582" s="100">
        <f>EOMONTH($G$19, $G$24)</f>
        <v>43465</v>
      </c>
      <c r="J582" s="100">
        <f t="shared" ref="J582:U582" si="169">EOMONTH(I582, $G$24)</f>
        <v>43830</v>
      </c>
      <c r="K582" s="100">
        <f t="shared" si="169"/>
        <v>44196</v>
      </c>
      <c r="L582" s="100">
        <f t="shared" si="169"/>
        <v>44561</v>
      </c>
      <c r="M582" s="100">
        <f t="shared" si="169"/>
        <v>44926</v>
      </c>
      <c r="N582" s="100">
        <f t="shared" si="169"/>
        <v>45291</v>
      </c>
      <c r="O582" s="100">
        <f t="shared" si="169"/>
        <v>45657</v>
      </c>
      <c r="P582" s="100">
        <f t="shared" si="169"/>
        <v>46022</v>
      </c>
      <c r="Q582" s="100">
        <f t="shared" si="169"/>
        <v>46387</v>
      </c>
      <c r="R582" s="100">
        <f t="shared" si="169"/>
        <v>46752</v>
      </c>
      <c r="S582" s="100">
        <f t="shared" si="169"/>
        <v>47118</v>
      </c>
      <c r="T582" s="100">
        <f t="shared" si="169"/>
        <v>47483</v>
      </c>
      <c r="U582" s="100">
        <f t="shared" si="169"/>
        <v>47848</v>
      </c>
      <c r="X582" s="141"/>
    </row>
    <row r="583" spans="2:24" x14ac:dyDescent="0.2">
      <c r="D583" s="225"/>
      <c r="E583" s="225"/>
      <c r="F583" s="180" t="s">
        <v>193</v>
      </c>
      <c r="G583" s="225"/>
      <c r="H583" s="226"/>
      <c r="I583" s="101">
        <f>EOMONTH($G$19, $G$24)</f>
        <v>43465</v>
      </c>
      <c r="J583" s="101">
        <f t="shared" ref="J583:U583" si="170">EOMONTH(I583, $G$24)</f>
        <v>43830</v>
      </c>
      <c r="K583" s="101">
        <f t="shared" si="170"/>
        <v>44196</v>
      </c>
      <c r="L583" s="101">
        <f t="shared" si="170"/>
        <v>44561</v>
      </c>
      <c r="M583" s="101">
        <f t="shared" si="170"/>
        <v>44926</v>
      </c>
      <c r="N583" s="101">
        <f t="shared" si="170"/>
        <v>45291</v>
      </c>
      <c r="O583" s="101">
        <f t="shared" si="170"/>
        <v>45657</v>
      </c>
      <c r="P583" s="101">
        <f t="shared" si="170"/>
        <v>46022</v>
      </c>
      <c r="Q583" s="101">
        <f t="shared" si="170"/>
        <v>46387</v>
      </c>
      <c r="R583" s="101">
        <f t="shared" si="170"/>
        <v>46752</v>
      </c>
      <c r="S583" s="101">
        <f t="shared" si="170"/>
        <v>47118</v>
      </c>
      <c r="T583" s="101">
        <f t="shared" si="170"/>
        <v>47483</v>
      </c>
      <c r="U583" s="101">
        <f t="shared" si="170"/>
        <v>47848</v>
      </c>
      <c r="X583" s="141"/>
    </row>
    <row r="584" spans="2:24" x14ac:dyDescent="0.2">
      <c r="X584" s="141"/>
    </row>
    <row r="585" spans="2:24" ht="5.0999999999999996" customHeight="1" x14ac:dyDescent="0.2">
      <c r="C585" s="35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36"/>
      <c r="X585" s="141"/>
    </row>
    <row r="586" spans="2:24" x14ac:dyDescent="0.2">
      <c r="C586" s="37"/>
      <c r="D586" s="2" t="s">
        <v>163</v>
      </c>
      <c r="V586" s="38"/>
      <c r="X586" s="141"/>
    </row>
    <row r="587" spans="2:24" ht="5.0999999999999996" customHeight="1" x14ac:dyDescent="0.2">
      <c r="C587" s="37"/>
      <c r="V587" s="38"/>
      <c r="X587" s="141"/>
    </row>
    <row r="588" spans="2:24" x14ac:dyDescent="0.2">
      <c r="C588" s="37"/>
      <c r="D588" s="1" t="s">
        <v>173</v>
      </c>
      <c r="F588" s="8" t="s">
        <v>175</v>
      </c>
      <c r="I588" s="105">
        <f t="shared" ref="I588:U588" ca="1" si="171">IFERROR(I552/SUM(I481, I492), 0)</f>
        <v>0</v>
      </c>
      <c r="J588" s="105">
        <f t="shared" ca="1" si="171"/>
        <v>1.6208450655799147</v>
      </c>
      <c r="K588" s="105">
        <f t="shared" ca="1" si="171"/>
        <v>3.3703976621844434</v>
      </c>
      <c r="L588" s="105">
        <f t="shared" ca="1" si="171"/>
        <v>3.4945179800292361</v>
      </c>
      <c r="M588" s="105">
        <f t="shared" ca="1" si="171"/>
        <v>3.6391627605211712</v>
      </c>
      <c r="N588" s="105">
        <f t="shared" ca="1" si="171"/>
        <v>3.7945634879102648</v>
      </c>
      <c r="O588" s="105">
        <f t="shared" ca="1" si="171"/>
        <v>3.9748258527205085</v>
      </c>
      <c r="P588" s="105">
        <f t="shared" ca="1" si="171"/>
        <v>4.1429738445920536</v>
      </c>
      <c r="Q588" s="105">
        <f t="shared" ca="1" si="171"/>
        <v>4.339233903634204</v>
      </c>
      <c r="R588" s="105">
        <f t="shared" ca="1" si="171"/>
        <v>4.5528560272211864</v>
      </c>
      <c r="S588" s="105">
        <f t="shared" ca="1" si="171"/>
        <v>0</v>
      </c>
      <c r="T588" s="105">
        <f t="shared" ca="1" si="171"/>
        <v>0</v>
      </c>
      <c r="U588" s="105">
        <f t="shared" ca="1" si="171"/>
        <v>0</v>
      </c>
      <c r="V588" s="236" t="e">
        <f>V552/-SUM(V561, V565)</f>
        <v>#DIV/0!</v>
      </c>
      <c r="X588" s="141"/>
    </row>
    <row r="589" spans="2:24" x14ac:dyDescent="0.2">
      <c r="C589" s="37"/>
      <c r="D589" s="1" t="s">
        <v>174</v>
      </c>
      <c r="F589" s="8" t="s">
        <v>175</v>
      </c>
      <c r="I589" s="105">
        <f t="shared" ref="I589:U589" ca="1" si="172">IFERROR(I552/SUM(I481, I492, -I493), 0)</f>
        <v>0</v>
      </c>
      <c r="J589" s="105">
        <f t="shared" ca="1" si="172"/>
        <v>1.3036264208806079</v>
      </c>
      <c r="K589" s="105">
        <f t="shared" ca="1" si="172"/>
        <v>2.2341578887149582</v>
      </c>
      <c r="L589" s="105">
        <f t="shared" ca="1" si="172"/>
        <v>2.2714889350737701</v>
      </c>
      <c r="M589" s="105">
        <f t="shared" ca="1" si="172"/>
        <v>2.3169187137752449</v>
      </c>
      <c r="N589" s="105">
        <f t="shared" ca="1" si="172"/>
        <v>2.3632570880507502</v>
      </c>
      <c r="O589" s="105">
        <f t="shared" ca="1" si="172"/>
        <v>2.41832434926277</v>
      </c>
      <c r="P589" s="105">
        <f t="shared" ca="1" si="172"/>
        <v>2.4587326744079991</v>
      </c>
      <c r="Q589" s="105">
        <f t="shared" ca="1" si="172"/>
        <v>2.5079073278961594</v>
      </c>
      <c r="R589" s="105">
        <f t="shared" ca="1" si="172"/>
        <v>2.5580654744540827</v>
      </c>
      <c r="S589" s="105">
        <f t="shared" ca="1" si="172"/>
        <v>0</v>
      </c>
      <c r="T589" s="105">
        <f t="shared" ca="1" si="172"/>
        <v>0</v>
      </c>
      <c r="U589" s="105">
        <f t="shared" ca="1" si="172"/>
        <v>0</v>
      </c>
      <c r="V589" s="38"/>
      <c r="X589" s="141"/>
    </row>
    <row r="590" spans="2:24" ht="5.0999999999999996" customHeight="1" x14ac:dyDescent="0.2">
      <c r="C590" s="39"/>
      <c r="D590" s="24"/>
      <c r="E590" s="24"/>
      <c r="F590" s="24"/>
      <c r="G590" s="24"/>
      <c r="H590" s="24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40"/>
      <c r="X590" s="141"/>
    </row>
    <row r="591" spans="2:24" x14ac:dyDescent="0.2">
      <c r="X591" s="141"/>
    </row>
    <row r="592" spans="2:24" ht="5.0999999999999996" customHeight="1" x14ac:dyDescent="0.2">
      <c r="C592" s="35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36"/>
      <c r="X592" s="141"/>
    </row>
    <row r="593" spans="3:24" x14ac:dyDescent="0.2">
      <c r="C593" s="37"/>
      <c r="D593" s="2" t="s">
        <v>228</v>
      </c>
      <c r="V593" s="38"/>
      <c r="X593" s="141"/>
    </row>
    <row r="594" spans="3:24" ht="5.0999999999999996" customHeight="1" x14ac:dyDescent="0.2">
      <c r="C594" s="37"/>
      <c r="V594" s="38"/>
      <c r="X594" s="141"/>
    </row>
    <row r="595" spans="3:24" x14ac:dyDescent="0.2">
      <c r="C595" s="37"/>
      <c r="D595" s="1" t="s">
        <v>296</v>
      </c>
      <c r="F595" s="8" t="s">
        <v>299</v>
      </c>
      <c r="I595" s="116">
        <f ca="1">AVERAGE(SUM($H$556:I$556, $H$557:I$557, $H$562:I$562, $H$563:I$563, $H$566:I$566), SUM($H$556:H$556, $H$557:H$557, $H$562:H$562, $H$563:H$563, $H$566:H$566))</f>
        <v>27028836.84417114</v>
      </c>
      <c r="J595" s="116">
        <f ca="1">AVERAGE(SUM($H$556:J$556, $H$557:J$557, $H$562:J$562, $H$563:J$563, $H$566:J$566), SUM($H$556:I$556, $H$557:I$557, $H$562:I$562, $H$563:I$563, $H$566:I$566))</f>
        <v>62059073.776771903</v>
      </c>
      <c r="K595" s="116">
        <f ca="1">AVERAGE(SUM($H$556:K$556, $H$557:K$557, $H$562:K$562, $H$563:K$563, $H$566:K$566), SUM($H$556:J$556, $H$557:J$557, $H$562:J$562, $H$563:J$563, $H$566:J$566))</f>
        <v>69598115.93961212</v>
      </c>
      <c r="L595" s="116">
        <f ca="1">AVERAGE(SUM($H$556:L$556, $H$557:L$557, $H$562:L$562, $H$563:L$563, $H$566:L$566), SUM($H$556:K$556, $H$557:K$557, $H$562:K$562, $H$563:K$563, $H$566:K$566))</f>
        <v>68655760.53594628</v>
      </c>
      <c r="M595" s="116">
        <f ca="1">AVERAGE(SUM($H$556:M$556, $H$557:M$557, $H$562:M$562, $H$563:M$563, $H$566:M$566), SUM($H$556:L$556, $H$557:L$557, $H$562:L$562, $H$563:L$563, $H$566:L$566))</f>
        <v>67677453.055578798</v>
      </c>
      <c r="N595" s="116">
        <f ca="1">AVERAGE(SUM($H$556:N$556, $H$557:N$557, $H$562:N$562, $H$563:N$563, $H$566:N$566), SUM($H$556:M$556, $H$557:M$557, $H$562:M$562, $H$563:M$563, $H$566:M$566))</f>
        <v>66661821.88031321</v>
      </c>
      <c r="O595" s="116">
        <f ca="1">AVERAGE(SUM($H$556:O$556, $H$557:O$557, $H$562:O$562, $H$563:O$563, $H$566:O$566), SUM($H$556:N$556, $H$557:N$557, $H$562:N$562, $H$563:N$563, $H$566:N$566))</f>
        <v>65607443.062946036</v>
      </c>
      <c r="P595" s="116">
        <f ca="1">AVERAGE(SUM($H$556:P$556, $H$557:P$557, $H$562:P$562, $H$563:P$563, $H$566:P$566), SUM($H$556:O$556, $H$557:O$557, $H$562:O$562, $H$563:O$563, $H$566:O$566))</f>
        <v>64512838.330847412</v>
      </c>
      <c r="Q595" s="116">
        <f ca="1">AVERAGE(SUM($H$556:Q$556, $H$557:Q$557, $H$562:Q$562, $H$563:Q$563, $H$566:Q$566), SUM($H$556:P$556, $H$557:P$557, $H$562:P$562, $H$563:P$563, $H$566:P$566))</f>
        <v>63376473.013375878</v>
      </c>
      <c r="R595" s="116">
        <f ca="1">AVERAGE(SUM($H$556:R$556, $H$557:R$557, $H$562:R$562, $H$563:R$563, $H$566:R$566), SUM($H$556:Q$556, $H$557:Q$557, $H$562:Q$562, $H$563:Q$563, $H$566:Q$566))</f>
        <v>41975328.765611321</v>
      </c>
      <c r="S595" s="116">
        <f ca="1">AVERAGE(SUM($H$556:S$556, $H$557:S$557, $H$562:S$562, $H$563:S$563, $H$566:S$566), SUM($H$556:R$556, $H$557:R$557, $H$562:R$562, $H$563:R$563, $H$566:R$566))</f>
        <v>21153002.747612327</v>
      </c>
      <c r="T595" s="116">
        <f ca="1">AVERAGE(SUM($H$556:T$556, $H$557:T$557, $H$562:T$562, $H$563:T$563, $H$566:T$566), SUM($H$556:S$556, $H$557:S$557, $H$562:S$562, $H$563:S$563, $H$566:S$566))</f>
        <v>21153002.747612327</v>
      </c>
      <c r="U595" s="116">
        <f ca="1">AVERAGE(SUM($H$556:U$556, $H$557:U$557, $H$562:U$562, $H$563:U$563, $H$566:U$566), SUM($H$556:T$556, $H$557:T$557, $H$562:T$562, $H$563:T$563, $H$566:T$566))</f>
        <v>21153002.747612327</v>
      </c>
      <c r="V595" s="38"/>
      <c r="X595" s="141"/>
    </row>
    <row r="596" spans="3:24" x14ac:dyDescent="0.2">
      <c r="C596" s="37"/>
      <c r="D596" s="1" t="s">
        <v>166</v>
      </c>
      <c r="F596" s="8" t="s">
        <v>298</v>
      </c>
      <c r="I596" s="108">
        <f ca="1">I552/I595</f>
        <v>0</v>
      </c>
      <c r="J596" s="108">
        <f t="shared" ref="J596:U596" ca="1" si="173">J552/J595</f>
        <v>4.8249682131829501E-2</v>
      </c>
      <c r="K596" s="108">
        <f t="shared" ca="1" si="173"/>
        <v>8.8051313332206185E-2</v>
      </c>
      <c r="L596" s="108">
        <f t="shared" ca="1" si="173"/>
        <v>9.0751351798139757E-2</v>
      </c>
      <c r="M596" s="108">
        <f t="shared" ca="1" si="173"/>
        <v>9.3904466731257324E-2</v>
      </c>
      <c r="N596" s="108">
        <f t="shared" ca="1" si="173"/>
        <v>9.7241858365807524E-2</v>
      </c>
      <c r="O596" s="108">
        <f t="shared" ca="1" si="173"/>
        <v>0.101106923569676</v>
      </c>
      <c r="P596" s="108">
        <f t="shared" ca="1" si="173"/>
        <v>0.10454051196057297</v>
      </c>
      <c r="Q596" s="108">
        <f t="shared" ca="1" si="173"/>
        <v>0.1085432641325328</v>
      </c>
      <c r="R596" s="108">
        <f t="shared" ca="1" si="173"/>
        <v>0.16716178863688261</v>
      </c>
      <c r="S596" s="108">
        <f t="shared" ca="1" si="173"/>
        <v>0</v>
      </c>
      <c r="T596" s="108">
        <f t="shared" ca="1" si="173"/>
        <v>0</v>
      </c>
      <c r="U596" s="108">
        <f t="shared" ca="1" si="173"/>
        <v>0</v>
      </c>
      <c r="V596" s="38"/>
      <c r="X596" s="141"/>
    </row>
    <row r="597" spans="3:24" ht="5.0999999999999996" customHeight="1" x14ac:dyDescent="0.2">
      <c r="C597" s="37"/>
      <c r="V597" s="38"/>
      <c r="X597" s="141"/>
    </row>
    <row r="598" spans="3:24" x14ac:dyDescent="0.2">
      <c r="C598" s="37"/>
      <c r="D598" s="1" t="s">
        <v>297</v>
      </c>
      <c r="F598" s="8" t="s">
        <v>299</v>
      </c>
      <c r="I598" s="116">
        <f ca="1">AVERAGE(SUM($H$556:I$556), SUM($H$556:H$556))</f>
        <v>10576501.3738061</v>
      </c>
      <c r="J598" s="116">
        <f ca="1">AVERAGE(SUM($H$556:J$556), SUM($H$556:I$556))</f>
        <v>21153002.747612201</v>
      </c>
      <c r="K598" s="116">
        <f ca="1">AVERAGE(SUM($H$556:K$556), SUM($H$556:J$556))</f>
        <v>21153002.747612201</v>
      </c>
      <c r="L598" s="116">
        <f ca="1">AVERAGE(SUM($H$556:L$556), SUM($H$556:K$556))</f>
        <v>21153002.747612201</v>
      </c>
      <c r="M598" s="116">
        <f ca="1">AVERAGE(SUM($H$556:M$556), SUM($H$556:L$556))</f>
        <v>21153002.747612201</v>
      </c>
      <c r="N598" s="116">
        <f ca="1">AVERAGE(SUM($H$556:N$556), SUM($H$556:M$556))</f>
        <v>21153002.747612201</v>
      </c>
      <c r="O598" s="116">
        <f ca="1">AVERAGE(SUM($H$556:O$556), SUM($H$556:N$556))</f>
        <v>21153002.747612201</v>
      </c>
      <c r="P598" s="116">
        <f ca="1">AVERAGE(SUM($H$556:P$556), SUM($H$556:O$556))</f>
        <v>21153002.747612201</v>
      </c>
      <c r="Q598" s="116">
        <f ca="1">AVERAGE(SUM($H$556:Q$556), SUM($H$556:P$556))</f>
        <v>21153002.747612201</v>
      </c>
      <c r="R598" s="116">
        <f ca="1">AVERAGE(SUM($H$556:R$556), SUM($H$556:Q$556))</f>
        <v>21153002.747612201</v>
      </c>
      <c r="S598" s="116">
        <f ca="1">AVERAGE(SUM($H$556:S$556), SUM($H$556:R$556))</f>
        <v>21153002.747612201</v>
      </c>
      <c r="T598" s="116">
        <f ca="1">AVERAGE(SUM($H$556:T$556), SUM($H$556:S$556))</f>
        <v>21153002.747612201</v>
      </c>
      <c r="U598" s="116">
        <f ca="1">AVERAGE(SUM($H$556:U$556), SUM($H$556:T$556))</f>
        <v>21153002.747612201</v>
      </c>
      <c r="V598" s="38"/>
      <c r="X598" s="141"/>
    </row>
    <row r="599" spans="3:24" x14ac:dyDescent="0.2">
      <c r="C599" s="37"/>
      <c r="D599" s="1" t="s">
        <v>165</v>
      </c>
      <c r="F599" s="8" t="s">
        <v>298</v>
      </c>
      <c r="I599" s="108">
        <f ca="1">SUM(I552, I561, I565)/I598</f>
        <v>-0.11666666666666665</v>
      </c>
      <c r="J599" s="108">
        <f t="shared" ref="J599:U599" ca="1" si="174">SUM(J552, J561, J565)/J598</f>
        <v>5.4221240680073973E-2</v>
      </c>
      <c r="K599" s="108">
        <f t="shared" ca="1" si="174"/>
        <v>0.20375175618595714</v>
      </c>
      <c r="L599" s="108">
        <f t="shared" ca="1" si="174"/>
        <v>0.21026036728260744</v>
      </c>
      <c r="M599" s="108">
        <f t="shared" ca="1" si="174"/>
        <v>0.21788278911559125</v>
      </c>
      <c r="N599" s="108">
        <f t="shared" ca="1" si="174"/>
        <v>0.22568908716771238</v>
      </c>
      <c r="O599" s="108">
        <f t="shared" ca="1" si="174"/>
        <v>0.23469585726009645</v>
      </c>
      <c r="P599" s="108">
        <f t="shared" ca="1" si="174"/>
        <v>0.24187296134349187</v>
      </c>
      <c r="Q599" s="108">
        <f t="shared" ca="1" si="174"/>
        <v>0.25026072497113694</v>
      </c>
      <c r="R599" s="108">
        <f t="shared" ca="1" si="174"/>
        <v>0.25885274920603707</v>
      </c>
      <c r="S599" s="108">
        <f t="shared" ca="1" si="174"/>
        <v>0</v>
      </c>
      <c r="T599" s="108">
        <f t="shared" ca="1" si="174"/>
        <v>0</v>
      </c>
      <c r="U599" s="108">
        <f t="shared" ca="1" si="174"/>
        <v>0</v>
      </c>
      <c r="V599" s="38"/>
      <c r="X599" s="141"/>
    </row>
    <row r="600" spans="3:24" ht="5.0999999999999996" customHeight="1" x14ac:dyDescent="0.2">
      <c r="C600" s="39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40"/>
      <c r="X600" s="141"/>
    </row>
    <row r="601" spans="3:24" x14ac:dyDescent="0.2">
      <c r="X601" s="141"/>
    </row>
    <row r="602" spans="3:24" ht="5.0999999999999996" customHeight="1" x14ac:dyDescent="0.2">
      <c r="C602" s="35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36"/>
      <c r="X602" s="141"/>
    </row>
    <row r="603" spans="3:24" x14ac:dyDescent="0.2">
      <c r="C603" s="37"/>
      <c r="D603" s="2" t="s">
        <v>226</v>
      </c>
      <c r="V603" s="38"/>
      <c r="X603" s="141"/>
    </row>
    <row r="604" spans="3:24" ht="5.0999999999999996" customHeight="1" x14ac:dyDescent="0.2">
      <c r="C604" s="37"/>
      <c r="D604" s="237"/>
      <c r="V604" s="38"/>
      <c r="X604" s="141"/>
    </row>
    <row r="605" spans="3:24" x14ac:dyDescent="0.2">
      <c r="C605" s="37"/>
      <c r="D605" s="238" t="s">
        <v>250</v>
      </c>
      <c r="G605" s="30">
        <v>0.08</v>
      </c>
      <c r="I605" s="116">
        <f ca="1">NPV((1+$G$605)^(1/(12/$G$24))-1, I$575:$V$575)</f>
        <v>13275615.567384075</v>
      </c>
      <c r="J605" s="116">
        <f ca="1">NPV((1+$G$605)^(1/(12/$G$24))-1, J$575:$V$575)</f>
        <v>28836274.128488526</v>
      </c>
      <c r="K605" s="116">
        <f ca="1">NPV((1+$G$605)^(1/(12/$G$24))-1, K$575:$V$575)</f>
        <v>36174718.860879287</v>
      </c>
      <c r="L605" s="116">
        <f ca="1">NPV((1+$G$605)^(1/(12/$G$24))-1, L$575:$V$575)</f>
        <v>35683450.762496069</v>
      </c>
      <c r="M605" s="116">
        <f ca="1">NPV((1+$G$605)^(1/(12/$G$24))-1, M$575:$V$575)</f>
        <v>35050483.652805693</v>
      </c>
      <c r="N605" s="116">
        <f ca="1">NPV((1+$G$605)^(1/(12/$G$24))-1, N$575:$V$575)</f>
        <v>34242267.112792753</v>
      </c>
      <c r="O605" s="116">
        <f ca="1">NPV((1+$G$605)^(1/(12/$G$24))-1, O$575:$V$575)</f>
        <v>33242288.946800504</v>
      </c>
      <c r="P605" s="116">
        <f ca="1">NPV((1+$G$605)^(1/(12/$G$24))-1, P$575:$V$575)</f>
        <v>32011265.237853825</v>
      </c>
      <c r="Q605" s="116">
        <f ca="1">NPV((1+$G$605)^(1/(12/$G$24))-1, Q$575:$V$575)</f>
        <v>30570921.216422103</v>
      </c>
      <c r="R605" s="116">
        <f ca="1">NPV((1+$G$605)^(1/(12/$G$24))-1, R$575:$V$575)</f>
        <v>28880465.570333112</v>
      </c>
      <c r="S605" s="116">
        <f ca="1">NPV((1+$G$605)^(1/(12/$G$24))-1, S$575:$V$575)</f>
        <v>0</v>
      </c>
      <c r="T605" s="116">
        <f ca="1">NPV((1+$G$605)^(1/(12/$G$24))-1, T$575:$V$575)</f>
        <v>0</v>
      </c>
      <c r="U605" s="116">
        <f ca="1">NPV((1+$G$605)^(1/(12/$G$24))-1, U$575:$V$575)</f>
        <v>0</v>
      </c>
      <c r="V605" s="38"/>
      <c r="X605" s="141"/>
    </row>
    <row r="606" spans="3:24" x14ac:dyDescent="0.2">
      <c r="C606" s="37"/>
      <c r="D606" s="238" t="s">
        <v>160</v>
      </c>
      <c r="G606" s="239">
        <v>43100</v>
      </c>
      <c r="I606" s="116"/>
      <c r="J606" s="116"/>
      <c r="K606" s="116"/>
      <c r="L606" s="116"/>
      <c r="M606" s="116"/>
      <c r="N606" s="116"/>
      <c r="O606" s="116"/>
      <c r="P606" s="116"/>
      <c r="Q606" s="116"/>
      <c r="R606" s="116"/>
      <c r="S606" s="116"/>
      <c r="T606" s="116"/>
      <c r="U606" s="116"/>
      <c r="V606" s="38"/>
      <c r="X606" s="141"/>
    </row>
    <row r="607" spans="3:24" x14ac:dyDescent="0.2">
      <c r="C607" s="37"/>
      <c r="D607" s="238" t="s">
        <v>159</v>
      </c>
      <c r="G607" s="116">
        <f ca="1">INDEX($H$605:$V$605, 1, MATCH(EOMONTH($G$606, $G$24), $H$512:$V$512, 0))</f>
        <v>13275615.567384075</v>
      </c>
      <c r="I607" s="257"/>
      <c r="V607" s="38"/>
      <c r="X607" s="141"/>
    </row>
    <row r="608" spans="3:24" ht="5.0999999999999996" customHeight="1" x14ac:dyDescent="0.2">
      <c r="C608" s="37"/>
      <c r="D608" s="238"/>
      <c r="G608" s="116"/>
      <c r="I608" s="257"/>
      <c r="V608" s="38"/>
      <c r="X608" s="141"/>
    </row>
    <row r="609" spans="3:24" x14ac:dyDescent="0.2">
      <c r="C609" s="37"/>
      <c r="D609" s="238" t="s">
        <v>251</v>
      </c>
      <c r="G609" s="302">
        <f>G605</f>
        <v>0.08</v>
      </c>
      <c r="I609" s="116">
        <f ca="1">NPV((1+$G$609)^(1/(12/$G$24))-1, I$577:$V$577)</f>
        <v>4958884.820828842</v>
      </c>
      <c r="J609" s="116">
        <f ca="1">NPV((1+$G$609)^(1/(12/$G$24))-1, J$577:$V$577)</f>
        <v>50784595.606495157</v>
      </c>
      <c r="K609" s="116">
        <f ca="1">NPV((1+$G$609)^(1/(12/$G$24))-1, K$577:$V$577)</f>
        <v>73787532.671889767</v>
      </c>
      <c r="L609" s="116">
        <f ca="1">NPV((1+$G$609)^(1/(12/$G$24))-1, L$577:$V$577)</f>
        <v>73562329.771710962</v>
      </c>
      <c r="M609" s="116">
        <f ca="1">NPV((1+$G$609)^(1/(12/$G$24))-1, M$577:$V$577)</f>
        <v>73216713.076081336</v>
      </c>
      <c r="N609" s="116">
        <f ca="1">NPV((1+$G$609)^(1/(12/$G$24))-1, N$577:$V$577)</f>
        <v>72718834.983254015</v>
      </c>
      <c r="O609" s="116">
        <f ca="1">NPV((1+$G$609)^(1/(12/$G$24))-1, O$577:$V$577)</f>
        <v>72054022.340222239</v>
      </c>
      <c r="P609" s="116">
        <f ca="1">NPV((1+$G$609)^(1/(12/$G$24))-1, P$577:$V$577)</f>
        <v>71184977.396072865</v>
      </c>
      <c r="Q609" s="116">
        <f ca="1">NPV((1+$G$609)^(1/(12/$G$24))-1, Q$577:$V$577)</f>
        <v>70135570.44062224</v>
      </c>
      <c r="R609" s="116">
        <f ca="1">NPV((1+$G$609)^(1/(12/$G$24))-1, R$577:$V$577)</f>
        <v>68867326.825792819</v>
      </c>
      <c r="S609" s="116">
        <f ca="1">NPV((1+$G$609)^(1/(12/$G$24))-1, S$577:$V$577)</f>
        <v>0</v>
      </c>
      <c r="T609" s="116">
        <f ca="1">NPV((1+$G$609)^(1/(12/$G$24))-1, T$577:$V$577)</f>
        <v>0</v>
      </c>
      <c r="U609" s="116">
        <f ca="1">NPV((1+$G$609)^(1/(12/$G$24))-1, U$577:$V$577)</f>
        <v>0</v>
      </c>
      <c r="V609" s="38"/>
      <c r="X609" s="141"/>
    </row>
    <row r="610" spans="3:24" x14ac:dyDescent="0.2">
      <c r="C610" s="37"/>
      <c r="D610" s="238" t="s">
        <v>160</v>
      </c>
      <c r="G610" s="301">
        <f>G606</f>
        <v>43100</v>
      </c>
      <c r="I610" s="257"/>
      <c r="V610" s="38"/>
      <c r="X610" s="141"/>
    </row>
    <row r="611" spans="3:24" x14ac:dyDescent="0.2">
      <c r="C611" s="37"/>
      <c r="D611" s="238" t="s">
        <v>159</v>
      </c>
      <c r="G611" s="116">
        <f ca="1">INDEX($H$609:$V$609, 1, MATCH(EOMONTH($G$610, $G$24), $H$512:$V$512, 0))</f>
        <v>4958884.820828842</v>
      </c>
      <c r="I611" s="257"/>
      <c r="V611" s="38"/>
      <c r="X611" s="141"/>
    </row>
    <row r="612" spans="3:24" ht="5.0999999999999996" customHeight="1" x14ac:dyDescent="0.2">
      <c r="C612" s="39"/>
      <c r="D612" s="24"/>
      <c r="E612" s="24"/>
      <c r="F612" s="24"/>
      <c r="G612" s="24"/>
      <c r="H612" s="24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40"/>
      <c r="X612" s="141"/>
    </row>
    <row r="613" spans="3:24" x14ac:dyDescent="0.2">
      <c r="X613" s="141"/>
    </row>
    <row r="614" spans="3:24" ht="5.0999999999999996" customHeight="1" x14ac:dyDescent="0.2">
      <c r="C614" s="35"/>
      <c r="D614" s="4"/>
      <c r="E614" s="4"/>
      <c r="F614" s="4"/>
      <c r="G614" s="4"/>
      <c r="H614" s="36"/>
      <c r="X614" s="141"/>
    </row>
    <row r="615" spans="3:24" x14ac:dyDescent="0.2">
      <c r="C615" s="37"/>
      <c r="D615" s="2" t="s">
        <v>158</v>
      </c>
      <c r="H615" s="38"/>
      <c r="X615" s="141"/>
    </row>
    <row r="616" spans="3:24" ht="5.0999999999999996" customHeight="1" x14ac:dyDescent="0.2">
      <c r="C616" s="37"/>
      <c r="H616" s="38"/>
      <c r="X616" s="141"/>
    </row>
    <row r="617" spans="3:24" x14ac:dyDescent="0.2">
      <c r="C617" s="37"/>
      <c r="D617" s="1" t="s">
        <v>247</v>
      </c>
      <c r="G617" s="240">
        <f ca="1">(1+IRR(I$577:$V$577))^(12/G24)-1</f>
        <v>9.3123183357341377E-2</v>
      </c>
      <c r="H617" s="38"/>
      <c r="X617" s="141"/>
    </row>
    <row r="618" spans="3:24" x14ac:dyDescent="0.2">
      <c r="C618" s="37"/>
      <c r="D618" s="1" t="s">
        <v>229</v>
      </c>
      <c r="G618" s="240">
        <f ca="1">(1+IRR(I$575:$V$575))^(12/G24)-1</f>
        <v>0.18125518437763222</v>
      </c>
      <c r="H618" s="38"/>
      <c r="J618" s="240"/>
      <c r="K618" s="240"/>
      <c r="L618" s="240"/>
      <c r="M618" s="240"/>
      <c r="N618" s="240"/>
      <c r="O618" s="240"/>
      <c r="P618" s="240"/>
      <c r="Q618" s="240"/>
      <c r="R618" s="240"/>
      <c r="S618" s="240"/>
      <c r="T618" s="105"/>
      <c r="U618" s="105"/>
      <c r="X618" s="141"/>
    </row>
    <row r="619" spans="3:24" ht="5.0999999999999996" customHeight="1" x14ac:dyDescent="0.2">
      <c r="C619" s="39"/>
      <c r="D619" s="24"/>
      <c r="E619" s="24"/>
      <c r="F619" s="24"/>
      <c r="G619" s="24"/>
      <c r="H619" s="40"/>
      <c r="X619" s="141"/>
    </row>
    <row r="620" spans="3:24" x14ac:dyDescent="0.2">
      <c r="X620" s="141"/>
    </row>
    <row r="621" spans="3:24" ht="5.0999999999999996" customHeight="1" x14ac:dyDescent="0.2">
      <c r="C621" s="35"/>
      <c r="D621" s="4"/>
      <c r="E621" s="4"/>
      <c r="F621" s="4"/>
      <c r="G621" s="4"/>
      <c r="H621" s="36"/>
      <c r="X621" s="141"/>
    </row>
    <row r="622" spans="3:24" x14ac:dyDescent="0.2">
      <c r="C622" s="37"/>
      <c r="D622" s="2" t="s">
        <v>227</v>
      </c>
      <c r="H622" s="38"/>
      <c r="X622" s="141"/>
    </row>
    <row r="623" spans="3:24" ht="5.0999999999999996" customHeight="1" x14ac:dyDescent="0.2">
      <c r="C623" s="37"/>
      <c r="H623" s="38"/>
      <c r="X623" s="141"/>
    </row>
    <row r="624" spans="3:24" x14ac:dyDescent="0.2">
      <c r="C624" s="37"/>
      <c r="D624" s="1" t="s">
        <v>161</v>
      </c>
      <c r="G624" s="116">
        <f ca="1">SUM(H575:V575)</f>
        <v>37913035.651884571</v>
      </c>
      <c r="H624" s="38"/>
      <c r="X624" s="141"/>
    </row>
    <row r="625" spans="1:33" x14ac:dyDescent="0.2">
      <c r="C625" s="37"/>
      <c r="D625" s="1" t="s">
        <v>162</v>
      </c>
      <c r="G625" s="116">
        <f ca="1">SUM(H556:V556)</f>
        <v>21153002.747612201</v>
      </c>
      <c r="H625" s="38"/>
      <c r="X625" s="141"/>
    </row>
    <row r="626" spans="1:33" x14ac:dyDescent="0.2">
      <c r="C626" s="37"/>
      <c r="D626" s="1" t="s">
        <v>307</v>
      </c>
      <c r="G626" s="241">
        <f ca="1">G624/G625</f>
        <v>1.7923240546150963</v>
      </c>
      <c r="H626" s="38"/>
      <c r="X626" s="141"/>
    </row>
    <row r="627" spans="1:33" ht="5.0999999999999996" customHeight="1" x14ac:dyDescent="0.2">
      <c r="C627" s="39"/>
      <c r="D627" s="24"/>
      <c r="E627" s="24"/>
      <c r="F627" s="24"/>
      <c r="G627" s="24"/>
      <c r="H627" s="40"/>
      <c r="X627" s="141"/>
    </row>
    <row r="628" spans="1:33" x14ac:dyDescent="0.2">
      <c r="X628" s="141"/>
    </row>
    <row r="629" spans="1:33" x14ac:dyDescent="0.2">
      <c r="A629" s="18" t="s">
        <v>167</v>
      </c>
      <c r="B629" s="141"/>
      <c r="C629" s="141"/>
      <c r="D629" s="141"/>
      <c r="E629" s="141"/>
      <c r="F629" s="141"/>
      <c r="G629" s="141"/>
      <c r="H629" s="141"/>
      <c r="I629" s="141"/>
      <c r="J629" s="141"/>
      <c r="K629" s="141"/>
      <c r="L629" s="141"/>
      <c r="M629" s="141"/>
      <c r="N629" s="141"/>
      <c r="O629" s="141"/>
      <c r="P629" s="141"/>
      <c r="Q629" s="141"/>
      <c r="R629" s="141"/>
      <c r="S629" s="141"/>
      <c r="T629" s="141"/>
      <c r="U629" s="141"/>
      <c r="V629" s="141"/>
      <c r="W629" s="141"/>
      <c r="X629" s="141"/>
    </row>
    <row r="632" spans="1:33" x14ac:dyDescent="0.2">
      <c r="Z632" s="18" t="s">
        <v>258</v>
      </c>
      <c r="AA632" s="305"/>
    </row>
    <row r="634" spans="1:33" x14ac:dyDescent="0.2">
      <c r="AA634" s="1" t="s">
        <v>252</v>
      </c>
      <c r="AB634" s="117" t="str">
        <f ca="1">CELL("address", $G$25)</f>
        <v>$G$25</v>
      </c>
    </row>
    <row r="636" spans="1:33" ht="25.5" x14ac:dyDescent="0.2">
      <c r="AC636" s="307" t="str">
        <f>"NPV (Unlevered) at "&amp;FIXED($G$609*100, 2, FALSE)&amp;"%"</f>
        <v>NPV (Unlevered) at 8.00%</v>
      </c>
      <c r="AD636" s="308" t="str">
        <f>"NPV (Levered) at "&amp;FIXED($G$605*100, 2, FALSE)&amp;"%"</f>
        <v>NPV (Levered) at 8.00%</v>
      </c>
      <c r="AE636" s="159" t="s">
        <v>248</v>
      </c>
      <c r="AF636" s="159" t="s">
        <v>249</v>
      </c>
      <c r="AG636" s="343" t="s">
        <v>305</v>
      </c>
    </row>
    <row r="637" spans="1:33" x14ac:dyDescent="0.2">
      <c r="AC637" s="304">
        <f ca="1">$G$611</f>
        <v>4958884.820828842</v>
      </c>
      <c r="AD637" s="303">
        <f ca="1">$G$607</f>
        <v>13275615.567384075</v>
      </c>
      <c r="AE637" s="157">
        <f ca="1">$G$617</f>
        <v>9.3123183357341377E-2</v>
      </c>
      <c r="AF637" s="157">
        <f ca="1">$G$618</f>
        <v>0.18125518437763222</v>
      </c>
      <c r="AG637" s="158">
        <f ca="1">$G$626</f>
        <v>1.7923240546150963</v>
      </c>
    </row>
    <row r="638" spans="1:33" x14ac:dyDescent="0.2">
      <c r="AA638" s="345" t="s">
        <v>164</v>
      </c>
      <c r="AB638" s="167" t="s">
        <v>23</v>
      </c>
      <c r="AC638" s="122">
        <f t="dataTable" ref="AC638:AG640" dt2D="0" dtr="0" r1="G25" ca="1"/>
        <v>-16628280.473513555</v>
      </c>
      <c r="AD638" s="122">
        <v>-8012194.2294467101</v>
      </c>
      <c r="AE638" s="145">
        <v>3.1386077379043753E-2</v>
      </c>
      <c r="AF638" s="145">
        <v>-1.3634318650658117E-2</v>
      </c>
      <c r="AG638" s="139">
        <v>-7.7306289971288675E-2</v>
      </c>
    </row>
    <row r="639" spans="1:33" x14ac:dyDescent="0.2">
      <c r="AA639" s="346"/>
      <c r="AB639" s="168" t="s">
        <v>21</v>
      </c>
      <c r="AC639" s="122">
        <v>4958884.820828842</v>
      </c>
      <c r="AD639" s="122">
        <v>13275615.567383975</v>
      </c>
      <c r="AE639" s="145">
        <v>9.3123183357341377E-2</v>
      </c>
      <c r="AF639" s="145">
        <v>0.18125518437763177</v>
      </c>
      <c r="AG639" s="139">
        <v>1.792324054615086</v>
      </c>
    </row>
    <row r="640" spans="1:33" x14ac:dyDescent="0.2">
      <c r="AA640" s="347"/>
      <c r="AB640" s="169" t="s">
        <v>22</v>
      </c>
      <c r="AC640" s="122">
        <v>30693529.047508221</v>
      </c>
      <c r="AD640" s="122">
        <v>38687183.800883397</v>
      </c>
      <c r="AE640" s="145">
        <v>0.15397781943568112</v>
      </c>
      <c r="AF640" s="145">
        <v>0.3176531452396576</v>
      </c>
      <c r="AG640" s="139">
        <v>4.2695959639779151</v>
      </c>
    </row>
    <row r="642" spans="26:33" x14ac:dyDescent="0.2">
      <c r="Z642" s="18" t="s">
        <v>257</v>
      </c>
      <c r="AA642" s="305"/>
      <c r="AC642" s="339"/>
    </row>
    <row r="644" spans="26:33" x14ac:dyDescent="0.2">
      <c r="AA644" s="1" t="s">
        <v>171</v>
      </c>
      <c r="AB644" s="154">
        <v>5.0000000000000001E-3</v>
      </c>
    </row>
    <row r="645" spans="26:33" x14ac:dyDescent="0.2">
      <c r="AA645" s="1" t="s">
        <v>252</v>
      </c>
      <c r="AB645" s="117" t="str">
        <f ca="1">CELL("address", G158)</f>
        <v>$G$158</v>
      </c>
    </row>
    <row r="647" spans="26:33" ht="25.5" x14ac:dyDescent="0.2">
      <c r="AC647" s="307" t="str">
        <f>"NPV (Unlevered) at "&amp;FIXED($G$609*100, 2, FALSE)&amp;"%"</f>
        <v>NPV (Unlevered) at 8.00%</v>
      </c>
      <c r="AD647" s="308" t="str">
        <f>"NPV (Levered) at "&amp;FIXED($G$605*100, 2, FALSE)&amp;"%"</f>
        <v>NPV (Levered) at 8.00%</v>
      </c>
      <c r="AE647" s="159" t="s">
        <v>248</v>
      </c>
      <c r="AF647" s="159" t="s">
        <v>249</v>
      </c>
      <c r="AG647" s="343" t="s">
        <v>305</v>
      </c>
    </row>
    <row r="648" spans="26:33" x14ac:dyDescent="0.2">
      <c r="AC648" s="304">
        <f ca="1">$G$611</f>
        <v>4958884.820828842</v>
      </c>
      <c r="AD648" s="303">
        <f ca="1">$G$607</f>
        <v>13275615.567384075</v>
      </c>
      <c r="AE648" s="157">
        <f ca="1">$G$617</f>
        <v>9.3123183357341377E-2</v>
      </c>
      <c r="AF648" s="157">
        <f ca="1">$G$618</f>
        <v>0.18125518437763222</v>
      </c>
      <c r="AG648" s="158">
        <f ca="1">$G$626</f>
        <v>1.7923240546150963</v>
      </c>
    </row>
    <row r="649" spans="26:33" x14ac:dyDescent="0.2">
      <c r="AA649" s="351" t="s">
        <v>169</v>
      </c>
      <c r="AB649" s="149">
        <f>AB650-$AB$644</f>
        <v>5.9999999999999991E-2</v>
      </c>
      <c r="AC649" s="214">
        <f t="dataTable" ref="AC649:AG659" dt2D="0" dtr="0" r1="G158" ca="1"/>
        <v>25759373.3423126</v>
      </c>
      <c r="AD649" s="214">
        <v>34076104.088867769</v>
      </c>
      <c r="AE649" s="143">
        <v>0.13685749749764908</v>
      </c>
      <c r="AF649" s="143">
        <v>0.25913928375782747</v>
      </c>
      <c r="AG649" s="144">
        <v>3.9152706244389011</v>
      </c>
    </row>
    <row r="650" spans="26:33" ht="12.75" customHeight="1" x14ac:dyDescent="0.2">
      <c r="AA650" s="351"/>
      <c r="AB650" s="150">
        <f>AB651-$AB$644</f>
        <v>6.4999999999999988E-2</v>
      </c>
      <c r="AC650" s="122">
        <v>21759279.395873416</v>
      </c>
      <c r="AD650" s="122">
        <v>30076010.142428588</v>
      </c>
      <c r="AE650" s="145">
        <v>0.12951951945936457</v>
      </c>
      <c r="AF650" s="145">
        <v>0.24725131066924266</v>
      </c>
      <c r="AG650" s="139">
        <v>3.5070116687035533</v>
      </c>
    </row>
    <row r="651" spans="26:33" x14ac:dyDescent="0.2">
      <c r="AA651" s="351"/>
      <c r="AB651" s="150">
        <f>AB652-$AB$644</f>
        <v>6.9999999999999993E-2</v>
      </c>
      <c r="AC651" s="122">
        <v>18330627.441782691</v>
      </c>
      <c r="AD651" s="122">
        <v>26647358.188337859</v>
      </c>
      <c r="AE651" s="145">
        <v>0.12288434681835692</v>
      </c>
      <c r="AF651" s="145">
        <v>0.23617931994071428</v>
      </c>
      <c r="AG651" s="139">
        <v>3.1570754209303975</v>
      </c>
    </row>
    <row r="652" spans="26:33" x14ac:dyDescent="0.2">
      <c r="AA652" s="351"/>
      <c r="AB652" s="150">
        <f>AB653-$AB$644</f>
        <v>7.4999999999999997E-2</v>
      </c>
      <c r="AC652" s="122">
        <v>15359129.081570722</v>
      </c>
      <c r="AD652" s="122">
        <v>23675859.828125894</v>
      </c>
      <c r="AE652" s="145">
        <v>0.11684547548639457</v>
      </c>
      <c r="AF652" s="145">
        <v>0.22579703829890407</v>
      </c>
      <c r="AG652" s="139">
        <v>2.853797339526996</v>
      </c>
    </row>
    <row r="653" spans="26:33" x14ac:dyDescent="0.2">
      <c r="AA653" s="351"/>
      <c r="AB653" s="155">
        <v>0.08</v>
      </c>
      <c r="AC653" s="122">
        <v>12759068.016385252</v>
      </c>
      <c r="AD653" s="122">
        <v>21075798.762940422</v>
      </c>
      <c r="AE653" s="145">
        <v>0.11131811193008145</v>
      </c>
      <c r="AF653" s="145">
        <v>0.21600317212886133</v>
      </c>
      <c r="AG653" s="139">
        <v>2.5884290182990188</v>
      </c>
    </row>
    <row r="654" spans="26:33" x14ac:dyDescent="0.2">
      <c r="AA654" s="351"/>
      <c r="AB654" s="150">
        <f t="shared" ref="AB654:AB659" si="175">AB653+$AB$644</f>
        <v>8.5000000000000006E-2</v>
      </c>
      <c r="AC654" s="122">
        <v>10464896.488280421</v>
      </c>
      <c r="AD654" s="122">
        <v>18781627.234835587</v>
      </c>
      <c r="AE654" s="145">
        <v>0.10623372144506882</v>
      </c>
      <c r="AF654" s="145">
        <v>0.20671512608572473</v>
      </c>
      <c r="AG654" s="139">
        <v>2.3542804995684508</v>
      </c>
    </row>
    <row r="655" spans="26:33" x14ac:dyDescent="0.2">
      <c r="AA655" s="351"/>
      <c r="AB655" s="150">
        <f t="shared" si="175"/>
        <v>9.0000000000000011E-2</v>
      </c>
      <c r="AC655" s="122">
        <v>8425632.9077427927</v>
      </c>
      <c r="AD655" s="122">
        <v>16742363.654297965</v>
      </c>
      <c r="AE655" s="145">
        <v>0.10153617618528843</v>
      </c>
      <c r="AF655" s="145">
        <v>0.19786455374678313</v>
      </c>
      <c r="AG655" s="139">
        <v>2.1461484829190578</v>
      </c>
    </row>
    <row r="656" spans="26:33" x14ac:dyDescent="0.2">
      <c r="AA656" s="351"/>
      <c r="AB656" s="150">
        <f t="shared" si="175"/>
        <v>9.5000000000000015E-2</v>
      </c>
      <c r="AC656" s="122">
        <v>6601028.6514722845</v>
      </c>
      <c r="AD656" s="122">
        <v>14917759.398027461</v>
      </c>
      <c r="AE656" s="145">
        <v>9.7178972804466746E-2</v>
      </c>
      <c r="AF656" s="145">
        <v>0.18939413352193601</v>
      </c>
      <c r="AG656" s="139">
        <v>1.9599250996011792</v>
      </c>
    </row>
    <row r="657" spans="26:33" x14ac:dyDescent="0.2">
      <c r="AA657" s="351"/>
      <c r="AB657" s="150">
        <f t="shared" si="175"/>
        <v>0.10000000000000002</v>
      </c>
      <c r="AC657" s="122">
        <v>4958884.8208288345</v>
      </c>
      <c r="AD657" s="122">
        <v>13275615.567384006</v>
      </c>
      <c r="AE657" s="145">
        <v>9.3123183357341377E-2</v>
      </c>
      <c r="AF657" s="145">
        <v>0.18125518437763177</v>
      </c>
      <c r="AG657" s="139">
        <v>1.7923240546150891</v>
      </c>
    </row>
    <row r="658" spans="26:33" x14ac:dyDescent="0.2">
      <c r="AA658" s="351"/>
      <c r="AB658" s="150">
        <f t="shared" si="175"/>
        <v>0.10500000000000002</v>
      </c>
      <c r="AC658" s="122">
        <v>3473135.6407228508</v>
      </c>
      <c r="AD658" s="122">
        <v>11789866.387278024</v>
      </c>
      <c r="AE658" s="145">
        <v>8.9335920076117681E-2</v>
      </c>
      <c r="AF658" s="145">
        <v>0.17340586957382098</v>
      </c>
      <c r="AG658" s="139">
        <v>1.6406850139133884</v>
      </c>
    </row>
    <row r="659" spans="26:33" x14ac:dyDescent="0.2">
      <c r="AA659" s="351"/>
      <c r="AB659" s="151">
        <f t="shared" si="175"/>
        <v>0.11000000000000003</v>
      </c>
      <c r="AC659" s="122">
        <v>2122454.5678992304</v>
      </c>
      <c r="AD659" s="122">
        <v>10439185.314454399</v>
      </c>
      <c r="AE659" s="145">
        <v>8.578916739128184E-2</v>
      </c>
      <c r="AF659" s="145">
        <v>0.16580981974855624</v>
      </c>
      <c r="AG659" s="139">
        <v>1.5028313405482054</v>
      </c>
    </row>
    <row r="661" spans="26:33" x14ac:dyDescent="0.2">
      <c r="Z661" s="18" t="s">
        <v>255</v>
      </c>
      <c r="AA661" s="305"/>
    </row>
    <row r="663" spans="26:33" x14ac:dyDescent="0.2">
      <c r="AA663" s="1" t="s">
        <v>171</v>
      </c>
      <c r="AB663" s="154">
        <v>0.05</v>
      </c>
      <c r="AD663" s="299"/>
      <c r="AE663" s="299"/>
      <c r="AF663" s="300"/>
    </row>
    <row r="664" spans="26:33" x14ac:dyDescent="0.2">
      <c r="AA664" s="1" t="s">
        <v>252</v>
      </c>
      <c r="AB664" s="117" t="str">
        <f ca="1">CELL("address", G131)</f>
        <v>$G$131</v>
      </c>
    </row>
    <row r="666" spans="26:33" ht="25.5" x14ac:dyDescent="0.2">
      <c r="AC666" s="307" t="str">
        <f>"NPV (Unlevered) at "&amp;FIXED($G$609*100, 2, FALSE)&amp;"%"</f>
        <v>NPV (Unlevered) at 8.00%</v>
      </c>
      <c r="AD666" s="308" t="str">
        <f>"NPV (Levered) at "&amp;FIXED($G$605*100, 2, FALSE)&amp;"%"</f>
        <v>NPV (Levered) at 8.00%</v>
      </c>
      <c r="AE666" s="159" t="s">
        <v>248</v>
      </c>
      <c r="AF666" s="159" t="s">
        <v>249</v>
      </c>
      <c r="AG666" s="343" t="s">
        <v>305</v>
      </c>
    </row>
    <row r="667" spans="26:33" x14ac:dyDescent="0.2">
      <c r="AC667" s="304">
        <f ca="1">$G$611</f>
        <v>4958884.820828842</v>
      </c>
      <c r="AD667" s="303">
        <f ca="1">$G$607</f>
        <v>13275615.567384075</v>
      </c>
      <c r="AE667" s="157">
        <f ca="1">$G$617</f>
        <v>9.3123183357341377E-2</v>
      </c>
      <c r="AF667" s="157">
        <f ca="1">$G$618</f>
        <v>0.18125518437763222</v>
      </c>
      <c r="AG667" s="158">
        <f ca="1">$G$626</f>
        <v>1.7923240546150963</v>
      </c>
    </row>
    <row r="668" spans="26:33" x14ac:dyDescent="0.2">
      <c r="AA668" s="345" t="s">
        <v>235</v>
      </c>
      <c r="AB668" s="162">
        <f>AB669-$AB$663</f>
        <v>0.44999999999999984</v>
      </c>
      <c r="AC668" s="214">
        <f t="dataTable" ref="AC668:AG678" dt2D="0" dtr="0" r1="G131" ca="1"/>
        <v>4958884.820828856</v>
      </c>
      <c r="AD668" s="214">
        <v>10168317.173770715</v>
      </c>
      <c r="AE668" s="143">
        <v>9.3123183357341377E-2</v>
      </c>
      <c r="AF668" s="143">
        <v>0.12854471019335345</v>
      </c>
      <c r="AG668" s="144">
        <v>2.043064660777238</v>
      </c>
    </row>
    <row r="669" spans="26:33" ht="12.75" customHeight="1" x14ac:dyDescent="0.2">
      <c r="AA669" s="346"/>
      <c r="AB669" s="163">
        <f>AB670-$AB$663</f>
        <v>0.49999999999999983</v>
      </c>
      <c r="AC669" s="137">
        <v>4958884.820828842</v>
      </c>
      <c r="AD669" s="137">
        <v>10789127.04496108</v>
      </c>
      <c r="AE669" s="135">
        <v>9.3123183357341377E-2</v>
      </c>
      <c r="AF669" s="145">
        <v>0.13569627545607954</v>
      </c>
      <c r="AG669" s="139">
        <v>1.9929165395448114</v>
      </c>
    </row>
    <row r="670" spans="26:33" x14ac:dyDescent="0.2">
      <c r="AA670" s="346"/>
      <c r="AB670" s="163">
        <f>AB671-$AB$663</f>
        <v>0.54999999999999982</v>
      </c>
      <c r="AC670" s="137">
        <v>4958884.8208288485</v>
      </c>
      <c r="AD670" s="137">
        <v>11410261.565057795</v>
      </c>
      <c r="AE670" s="135">
        <v>9.3123183357341377E-2</v>
      </c>
      <c r="AF670" s="145">
        <v>0.14410654445611715</v>
      </c>
      <c r="AG670" s="139">
        <v>1.9427684183123832</v>
      </c>
    </row>
    <row r="671" spans="26:33" x14ac:dyDescent="0.2">
      <c r="AA671" s="346"/>
      <c r="AB671" s="163">
        <f>AB672-$AB$663</f>
        <v>0.59999999999999987</v>
      </c>
      <c r="AC671" s="137">
        <v>4958884.8208288625</v>
      </c>
      <c r="AD671" s="137">
        <v>12031720.988787344</v>
      </c>
      <c r="AE671" s="135">
        <v>9.3123183357341599E-2</v>
      </c>
      <c r="AF671" s="145">
        <v>0.1541322882680205</v>
      </c>
      <c r="AG671" s="139">
        <v>1.8926202970799513</v>
      </c>
    </row>
    <row r="672" spans="26:33" x14ac:dyDescent="0.2">
      <c r="AA672" s="346"/>
      <c r="AB672" s="163">
        <f>AB673-$AB$663</f>
        <v>0.64999999999999991</v>
      </c>
      <c r="AC672" s="137">
        <v>4958884.820828869</v>
      </c>
      <c r="AD672" s="137">
        <v>12653505.571142783</v>
      </c>
      <c r="AE672" s="135">
        <v>9.3123183357341377E-2</v>
      </c>
      <c r="AF672" s="145">
        <v>0.16627445875989078</v>
      </c>
      <c r="AG672" s="139">
        <v>1.842472175847524</v>
      </c>
    </row>
    <row r="673" spans="26:33" x14ac:dyDescent="0.2">
      <c r="AA673" s="346"/>
      <c r="AB673" s="342">
        <v>0.7</v>
      </c>
      <c r="AC673" s="137">
        <v>4958884.820828842</v>
      </c>
      <c r="AD673" s="137">
        <v>13275615.567384047</v>
      </c>
      <c r="AE673" s="135">
        <v>9.3123183357341377E-2</v>
      </c>
      <c r="AF673" s="145">
        <v>0.18125518437763199</v>
      </c>
      <c r="AG673" s="139">
        <v>1.7923240546150934</v>
      </c>
    </row>
    <row r="674" spans="26:33" x14ac:dyDescent="0.2">
      <c r="AA674" s="346"/>
      <c r="AB674" s="163">
        <f>AB673+$AB$663</f>
        <v>0.75</v>
      </c>
      <c r="AC674" s="137">
        <v>4958884.820828842</v>
      </c>
      <c r="AD674" s="137">
        <v>13898051.233038342</v>
      </c>
      <c r="AE674" s="135">
        <v>9.3123183357341377E-2</v>
      </c>
      <c r="AF674" s="145">
        <v>0.20014540987538498</v>
      </c>
      <c r="AG674" s="139">
        <v>1.7421759333826639</v>
      </c>
    </row>
    <row r="675" spans="26:33" x14ac:dyDescent="0.2">
      <c r="AA675" s="346"/>
      <c r="AB675" s="163">
        <f>AB674+$AB$663</f>
        <v>0.8</v>
      </c>
      <c r="AC675" s="137">
        <v>4958884.820828856</v>
      </c>
      <c r="AD675" s="137">
        <v>14520812.823900472</v>
      </c>
      <c r="AE675" s="135">
        <v>9.3123183357341377E-2</v>
      </c>
      <c r="AF675" s="145">
        <v>0.22457987766655285</v>
      </c>
      <c r="AG675" s="139">
        <v>1.6920278121502343</v>
      </c>
    </row>
    <row r="676" spans="26:33" x14ac:dyDescent="0.2">
      <c r="AA676" s="346"/>
      <c r="AB676" s="163">
        <f>AB675+$AB$663</f>
        <v>0.85000000000000009</v>
      </c>
      <c r="AC676" s="137">
        <v>4958884.820828856</v>
      </c>
      <c r="AD676" s="137">
        <v>15143900.59603318</v>
      </c>
      <c r="AE676" s="135">
        <v>9.3123183357341377E-2</v>
      </c>
      <c r="AF676" s="145">
        <v>0.25711616848631902</v>
      </c>
      <c r="AG676" s="139">
        <v>1.6418796909178044</v>
      </c>
    </row>
    <row r="677" spans="26:33" x14ac:dyDescent="0.2">
      <c r="AA677" s="346"/>
      <c r="AB677" s="163">
        <f>AB676+$AB$663</f>
        <v>0.90000000000000013</v>
      </c>
      <c r="AC677" s="137">
        <v>4958884.820828842</v>
      </c>
      <c r="AD677" s="137">
        <v>15767314.805767519</v>
      </c>
      <c r="AE677" s="135">
        <v>9.3123183357341377E-2</v>
      </c>
      <c r="AF677" s="145">
        <v>0.30178995479256998</v>
      </c>
      <c r="AG677" s="139">
        <v>1.5917315696853731</v>
      </c>
    </row>
    <row r="678" spans="26:33" x14ac:dyDescent="0.2">
      <c r="AA678" s="347"/>
      <c r="AB678" s="164">
        <f>AB677+$AB$663</f>
        <v>0.95000000000000018</v>
      </c>
      <c r="AC678" s="137">
        <v>4958884.820828856</v>
      </c>
      <c r="AD678" s="137">
        <v>16391055.709703239</v>
      </c>
      <c r="AE678" s="135">
        <v>9.3123183357341377E-2</v>
      </c>
      <c r="AF678" s="145">
        <v>0.36474232661220918</v>
      </c>
      <c r="AG678" s="139">
        <v>1.5415834484529443</v>
      </c>
    </row>
    <row r="680" spans="26:33" x14ac:dyDescent="0.2">
      <c r="Z680" s="18" t="s">
        <v>256</v>
      </c>
      <c r="AA680" s="141"/>
    </row>
    <row r="682" spans="26:33" x14ac:dyDescent="0.2">
      <c r="AA682" s="1" t="s">
        <v>171</v>
      </c>
      <c r="AB682" s="154">
        <v>5.0000000000000001E-3</v>
      </c>
    </row>
    <row r="683" spans="26:33" x14ac:dyDescent="0.2">
      <c r="AA683" s="1" t="s">
        <v>252</v>
      </c>
      <c r="AB683" s="117" t="str">
        <f ca="1">CELL("address", G133)</f>
        <v>$G$133</v>
      </c>
    </row>
    <row r="684" spans="26:33" x14ac:dyDescent="0.2">
      <c r="AB684" s="140"/>
    </row>
    <row r="685" spans="26:33" ht="25.5" x14ac:dyDescent="0.2">
      <c r="AC685" s="307" t="str">
        <f>"NPV (Unlevered) at "&amp;FIXED($G$609*100, 2, FALSE)&amp;"%"</f>
        <v>NPV (Unlevered) at 8.00%</v>
      </c>
      <c r="AD685" s="308" t="str">
        <f>"NPV (Levered) at "&amp;FIXED($G$605*100, 2, FALSE)&amp;"%"</f>
        <v>NPV (Levered) at 8.00%</v>
      </c>
      <c r="AE685" s="159" t="s">
        <v>248</v>
      </c>
      <c r="AF685" s="159" t="s">
        <v>249</v>
      </c>
      <c r="AG685" s="343" t="s">
        <v>305</v>
      </c>
    </row>
    <row r="686" spans="26:33" x14ac:dyDescent="0.2">
      <c r="AC686" s="304">
        <f ca="1">$G$611</f>
        <v>4958884.820828842</v>
      </c>
      <c r="AD686" s="303">
        <f ca="1">$G$607</f>
        <v>13275615.567384075</v>
      </c>
      <c r="AE686" s="157">
        <f ca="1">$G$617</f>
        <v>9.3123183357341377E-2</v>
      </c>
      <c r="AF686" s="157">
        <f ca="1">$G$618</f>
        <v>0.18125518437763222</v>
      </c>
      <c r="AG686" s="158">
        <f ca="1">$G$626</f>
        <v>1.7923240546150963</v>
      </c>
    </row>
    <row r="687" spans="26:33" x14ac:dyDescent="0.2">
      <c r="AA687" s="345" t="s">
        <v>170</v>
      </c>
      <c r="AB687" s="162">
        <f>AB688-$AB$682</f>
        <v>3.500000000000001E-2</v>
      </c>
      <c r="AC687" s="122">
        <f t="dataTable" ref="AC687:AG697" dt2D="0" dtr="0" r1="G133" ca="1"/>
        <v>4958884.820828842</v>
      </c>
      <c r="AD687" s="122">
        <v>13859993.693309173</v>
      </c>
      <c r="AE687" s="135">
        <v>9.3123183357341377E-2</v>
      </c>
      <c r="AF687" s="135">
        <v>0.18536896705916428</v>
      </c>
      <c r="AG687" s="139">
        <v>1.8399028592569009</v>
      </c>
    </row>
    <row r="688" spans="26:33" ht="12.75" customHeight="1" x14ac:dyDescent="0.2">
      <c r="AA688" s="346"/>
      <c r="AB688" s="163">
        <f>AB689-$AB$682</f>
        <v>4.0000000000000008E-2</v>
      </c>
      <c r="AC688" s="122">
        <v>4958884.820828842</v>
      </c>
      <c r="AD688" s="122">
        <v>12686873.558156502</v>
      </c>
      <c r="AE688" s="135">
        <v>9.3123183357341377E-2</v>
      </c>
      <c r="AF688" s="135">
        <v>0.17707825910179986</v>
      </c>
      <c r="AG688" s="139">
        <v>1.744496031844319</v>
      </c>
    </row>
    <row r="689" spans="26:33" x14ac:dyDescent="0.2">
      <c r="AA689" s="346"/>
      <c r="AB689" s="163">
        <f>AB690-$AB$682</f>
        <v>4.5000000000000005E-2</v>
      </c>
      <c r="AC689" s="122">
        <v>4958884.820828856</v>
      </c>
      <c r="AD689" s="122">
        <v>11496893.227506919</v>
      </c>
      <c r="AE689" s="135">
        <v>9.3123183357341377E-2</v>
      </c>
      <c r="AF689" s="135">
        <v>0.16853834479954033</v>
      </c>
      <c r="AG689" s="139">
        <v>1.6481395520805557</v>
      </c>
    </row>
    <row r="690" spans="26:33" x14ac:dyDescent="0.2">
      <c r="AA690" s="346"/>
      <c r="AB690" s="163">
        <f>AB691-$AB$682</f>
        <v>0.05</v>
      </c>
      <c r="AC690" s="122">
        <v>4958884.820828842</v>
      </c>
      <c r="AD690" s="122">
        <v>10291241.692258945</v>
      </c>
      <c r="AE690" s="135">
        <v>9.3123183357341377E-2</v>
      </c>
      <c r="AF690" s="135">
        <v>0.15975632267125328</v>
      </c>
      <c r="AG690" s="139">
        <v>1.5509263849312367</v>
      </c>
    </row>
    <row r="691" spans="26:33" x14ac:dyDescent="0.2">
      <c r="AA691" s="346"/>
      <c r="AB691" s="163">
        <f>AB692-$AB$682</f>
        <v>5.5E-2</v>
      </c>
      <c r="AC691" s="122">
        <v>4958884.820828856</v>
      </c>
      <c r="AD691" s="122">
        <v>9071097.7481097765</v>
      </c>
      <c r="AE691" s="135">
        <v>9.3123183357341377E-2</v>
      </c>
      <c r="AF691" s="135">
        <v>0.15073981419958038</v>
      </c>
      <c r="AG691" s="139">
        <v>1.4529466321853939</v>
      </c>
    </row>
    <row r="692" spans="26:33" x14ac:dyDescent="0.2">
      <c r="AA692" s="346"/>
      <c r="AB692" s="342">
        <v>0.06</v>
      </c>
      <c r="AC692" s="122">
        <v>4958884.820828842</v>
      </c>
      <c r="AD692" s="122">
        <v>7837619.9716983251</v>
      </c>
      <c r="AE692" s="135">
        <v>9.3123183357341377E-2</v>
      </c>
      <c r="AF692" s="135">
        <v>0.14149686313841325</v>
      </c>
      <c r="AG692" s="139">
        <v>1.3542868864744653</v>
      </c>
    </row>
    <row r="693" spans="26:33" x14ac:dyDescent="0.2">
      <c r="AA693" s="346"/>
      <c r="AB693" s="163">
        <f>AB692+$AB$682</f>
        <v>6.5000000000000002E-2</v>
      </c>
      <c r="AC693" s="122">
        <v>4958884.820828842</v>
      </c>
      <c r="AD693" s="122">
        <v>6591937.7250007549</v>
      </c>
      <c r="AE693" s="135">
        <v>9.3123183357341377E-2</v>
      </c>
      <c r="AF693" s="135">
        <v>0.13203583522364171</v>
      </c>
      <c r="AG693" s="139">
        <v>1.2550296859013423</v>
      </c>
    </row>
    <row r="694" spans="26:33" x14ac:dyDescent="0.2">
      <c r="AA694" s="346"/>
      <c r="AB694" s="163">
        <f>AB693+$AB$682</f>
        <v>7.0000000000000007E-2</v>
      </c>
      <c r="AC694" s="122">
        <v>4958884.820828842</v>
      </c>
      <c r="AD694" s="122">
        <v>5335143.2910575997</v>
      </c>
      <c r="AE694" s="135">
        <v>9.3123183357341377E-2</v>
      </c>
      <c r="AF694" s="135">
        <v>0.12236532038865211</v>
      </c>
      <c r="AG694" s="139">
        <v>1.1552530723594721</v>
      </c>
    </row>
    <row r="695" spans="26:33" x14ac:dyDescent="0.2">
      <c r="AA695" s="346"/>
      <c r="AB695" s="163">
        <f>AB694+$AB$682</f>
        <v>7.5000000000000011E-2</v>
      </c>
      <c r="AC695" s="122">
        <v>4958884.820828842</v>
      </c>
      <c r="AD695" s="122">
        <v>4068285.2028203574</v>
      </c>
      <c r="AE695" s="135">
        <v>9.3123183357341377E-2</v>
      </c>
      <c r="AF695" s="135">
        <v>0.11249403934258351</v>
      </c>
      <c r="AG695" s="139">
        <v>1.0550302534266731</v>
      </c>
    </row>
    <row r="696" spans="26:33" x14ac:dyDescent="0.2">
      <c r="AA696" s="346"/>
      <c r="AB696" s="163">
        <f>AB695+$AB$682</f>
        <v>8.0000000000000016E-2</v>
      </c>
      <c r="AC696" s="122">
        <v>4958884.820828842</v>
      </c>
      <c r="AD696" s="122">
        <v>2792362.7878630012</v>
      </c>
      <c r="AE696" s="135">
        <v>9.3123183357341377E-2</v>
      </c>
      <c r="AF696" s="135">
        <v>0.10243075608655383</v>
      </c>
      <c r="AG696" s="139">
        <v>0.95442936487137331</v>
      </c>
    </row>
    <row r="697" spans="26:33" x14ac:dyDescent="0.2">
      <c r="AA697" s="347"/>
      <c r="AB697" s="164">
        <f>AB696+$AB$682</f>
        <v>8.500000000000002E-2</v>
      </c>
      <c r="AC697" s="122">
        <v>4958884.820828842</v>
      </c>
      <c r="AD697" s="122">
        <v>1508321.9163430096</v>
      </c>
      <c r="AE697" s="135">
        <v>9.3123183357341377E-2</v>
      </c>
      <c r="AF697" s="135">
        <v>9.2184197637491749E-2</v>
      </c>
      <c r="AG697" s="139">
        <v>0.85351332839268146</v>
      </c>
    </row>
    <row r="699" spans="26:33" x14ac:dyDescent="0.2">
      <c r="Z699" s="18" t="s">
        <v>309</v>
      </c>
      <c r="AA699" s="141"/>
    </row>
    <row r="701" spans="26:33" x14ac:dyDescent="0.2">
      <c r="AA701" s="1" t="s">
        <v>172</v>
      </c>
      <c r="AB701" s="154">
        <v>0.05</v>
      </c>
    </row>
    <row r="702" spans="26:33" x14ac:dyDescent="0.2">
      <c r="AA702" s="1" t="s">
        <v>171</v>
      </c>
      <c r="AB702" s="154">
        <v>0.05</v>
      </c>
    </row>
    <row r="703" spans="26:33" x14ac:dyDescent="0.2">
      <c r="AA703" s="1" t="s">
        <v>253</v>
      </c>
      <c r="AB703" s="117" t="str">
        <f ca="1">CELL("address", I190)</f>
        <v>$I$190</v>
      </c>
    </row>
    <row r="704" spans="26:33" x14ac:dyDescent="0.2">
      <c r="AA704" s="1" t="s">
        <v>252</v>
      </c>
      <c r="AB704" s="117" t="str">
        <f ca="1">CELL("address", I180)</f>
        <v>$I$180</v>
      </c>
    </row>
    <row r="706" spans="26:49" x14ac:dyDescent="0.2">
      <c r="AC706" s="348" t="s">
        <v>259</v>
      </c>
      <c r="AD706" s="349"/>
      <c r="AE706" s="349"/>
      <c r="AF706" s="349"/>
      <c r="AG706" s="349"/>
      <c r="AH706" s="349"/>
      <c r="AI706" s="349"/>
      <c r="AJ706" s="349"/>
      <c r="AK706" s="349"/>
      <c r="AL706" s="349"/>
      <c r="AM706" s="350"/>
      <c r="AN706" s="14"/>
      <c r="AO706" s="14"/>
      <c r="AP706" s="14"/>
      <c r="AQ706" s="14"/>
      <c r="AR706" s="14"/>
      <c r="AS706" s="14"/>
      <c r="AT706" s="14"/>
      <c r="AU706" s="14"/>
      <c r="AV706" s="14"/>
      <c r="AW706" s="14"/>
    </row>
    <row r="707" spans="26:49" x14ac:dyDescent="0.2">
      <c r="AB707" s="344">
        <f ca="1">G618</f>
        <v>0.18125518437763222</v>
      </c>
      <c r="AC707" s="152">
        <f>AD707-$AB$701</f>
        <v>0.74999999999999978</v>
      </c>
      <c r="AD707" s="153">
        <f>AE707-$AB$701</f>
        <v>0.79999999999999982</v>
      </c>
      <c r="AE707" s="153">
        <f>AF707-$AB$701</f>
        <v>0.84999999999999987</v>
      </c>
      <c r="AF707" s="153">
        <f>AG707-$AB$701</f>
        <v>0.89999999999999991</v>
      </c>
      <c r="AG707" s="153">
        <f>AH707-$AB$701</f>
        <v>0.95</v>
      </c>
      <c r="AH707" s="156">
        <v>1</v>
      </c>
      <c r="AI707" s="153">
        <f>AH707+$AB$701</f>
        <v>1.05</v>
      </c>
      <c r="AJ707" s="153">
        <f>AI707+$AB$701</f>
        <v>1.1000000000000001</v>
      </c>
      <c r="AK707" s="153">
        <f>AJ707+$AB$701</f>
        <v>1.1500000000000001</v>
      </c>
      <c r="AL707" s="153">
        <f>AK707+$AB$701</f>
        <v>1.2000000000000002</v>
      </c>
      <c r="AM707" s="166">
        <f>AL707+$AB$701</f>
        <v>1.2500000000000002</v>
      </c>
      <c r="AS707" s="160"/>
      <c r="AT707" s="160"/>
      <c r="AU707" s="160"/>
      <c r="AV707" s="160"/>
      <c r="AW707" s="160"/>
    </row>
    <row r="708" spans="26:49" ht="12.75" customHeight="1" x14ac:dyDescent="0.2">
      <c r="AA708" s="345" t="s">
        <v>254</v>
      </c>
      <c r="AB708" s="149">
        <f>AB709-$AB$702</f>
        <v>0.49999999999999983</v>
      </c>
      <c r="AC708" s="138" t="e">
        <f t="dataTable" ref="AC708:AM718" dt2D="1" dtr="1" r1="I190" r2="I180" ca="1"/>
        <v>#NUM!</v>
      </c>
      <c r="AD708" s="138" t="e">
        <v>#NUM!</v>
      </c>
      <c r="AE708" s="21" t="e">
        <v>#NUM!</v>
      </c>
      <c r="AF708" s="138" t="e">
        <v>#NUM!</v>
      </c>
      <c r="AG708" s="138" t="e">
        <v>#NUM!</v>
      </c>
      <c r="AH708" s="138">
        <v>-0.17964623966392013</v>
      </c>
      <c r="AI708" s="138">
        <v>-8.8140874850843987E-2</v>
      </c>
      <c r="AJ708" s="138">
        <v>-3.552318271130972E-2</v>
      </c>
      <c r="AK708" s="138">
        <v>3.5242655816778434E-3</v>
      </c>
      <c r="AL708" s="138">
        <v>3.5356524654306165E-2</v>
      </c>
      <c r="AM708" s="138">
        <v>6.2644649791017137E-2</v>
      </c>
      <c r="AN708" s="146"/>
      <c r="AO708" s="146"/>
      <c r="AP708" s="146"/>
      <c r="AQ708" s="146"/>
      <c r="AR708" s="146"/>
      <c r="AS708" s="146"/>
      <c r="AT708" s="146"/>
      <c r="AU708" s="146"/>
      <c r="AV708" s="146"/>
      <c r="AW708" s="146"/>
    </row>
    <row r="709" spans="26:49" x14ac:dyDescent="0.2">
      <c r="AA709" s="346"/>
      <c r="AB709" s="150">
        <f>AB710-$AB$702</f>
        <v>0.54999999999999982</v>
      </c>
      <c r="AC709" s="138" t="e">
        <v>#NUM!</v>
      </c>
      <c r="AD709" s="138" t="e">
        <v>#NUM!</v>
      </c>
      <c r="AE709" s="21" t="e">
        <v>#NUM!</v>
      </c>
      <c r="AF709" s="138">
        <v>-0.21419089489938004</v>
      </c>
      <c r="AG709" s="138">
        <v>-9.4700890134352789E-2</v>
      </c>
      <c r="AH709" s="138">
        <v>-3.552318271130972E-2</v>
      </c>
      <c r="AI709" s="138">
        <v>6.9722658399062887E-3</v>
      </c>
      <c r="AJ709" s="138">
        <v>4.1121240127958814E-2</v>
      </c>
      <c r="AK709" s="138">
        <v>7.0171964321198876E-2</v>
      </c>
      <c r="AL709" s="138">
        <v>9.5757547244220476E-2</v>
      </c>
      <c r="AM709" s="138">
        <v>0.11882394914430416</v>
      </c>
      <c r="AN709" s="138"/>
      <c r="AO709" s="138"/>
      <c r="AP709" s="138"/>
      <c r="AQ709" s="138"/>
      <c r="AR709" s="138"/>
      <c r="AS709" s="138"/>
      <c r="AT709" s="138"/>
      <c r="AU709" s="138"/>
      <c r="AV709" s="138"/>
      <c r="AW709" s="138"/>
    </row>
    <row r="710" spans="26:49" x14ac:dyDescent="0.2">
      <c r="AA710" s="346"/>
      <c r="AB710" s="150">
        <f>AB711-$AB$702</f>
        <v>0.59999999999999987</v>
      </c>
      <c r="AC710" s="138" t="e">
        <v>#NUM!</v>
      </c>
      <c r="AD710" s="138" t="e">
        <v>#NUM!</v>
      </c>
      <c r="AE710" s="21">
        <v>-0.13396815940661022</v>
      </c>
      <c r="AF710" s="138">
        <v>-5.4324501177456352E-2</v>
      </c>
      <c r="AG710" s="138">
        <v>-3.584611086792644E-3</v>
      </c>
      <c r="AH710" s="138">
        <v>3.5356524654306165E-2</v>
      </c>
      <c r="AI710" s="138">
        <v>6.7692282514048685E-2</v>
      </c>
      <c r="AJ710" s="138">
        <v>9.5757547244220476E-2</v>
      </c>
      <c r="AK710" s="138">
        <v>0.12081855482600012</v>
      </c>
      <c r="AL710" s="138">
        <v>0.14364464225814655</v>
      </c>
      <c r="AM710" s="138">
        <v>0.16474069842121386</v>
      </c>
      <c r="AN710" s="138"/>
      <c r="AO710" s="138"/>
      <c r="AP710" s="138"/>
      <c r="AQ710" s="138"/>
      <c r="AR710" s="138"/>
      <c r="AS710" s="138"/>
      <c r="AT710" s="138"/>
      <c r="AU710" s="138"/>
      <c r="AV710" s="138"/>
      <c r="AW710" s="138"/>
    </row>
    <row r="711" spans="26:49" x14ac:dyDescent="0.2">
      <c r="AA711" s="346"/>
      <c r="AB711" s="150">
        <f>AB712-$AB$702</f>
        <v>0.64999999999999991</v>
      </c>
      <c r="AC711" s="138" t="e">
        <v>#NUM!</v>
      </c>
      <c r="AD711" s="138">
        <v>-0.1016131836008981</v>
      </c>
      <c r="AE711" s="21">
        <v>-3.1164800000936688E-2</v>
      </c>
      <c r="AF711" s="138">
        <v>1.6930785351495947E-2</v>
      </c>
      <c r="AG711" s="138">
        <v>5.4837629052171044E-2</v>
      </c>
      <c r="AH711" s="138">
        <v>8.6785266403453631E-2</v>
      </c>
      <c r="AI711" s="138">
        <v>0.11478718199611504</v>
      </c>
      <c r="AJ711" s="138">
        <v>0.13997174631702203</v>
      </c>
      <c r="AK711" s="138">
        <v>0.16303946564811511</v>
      </c>
      <c r="AL711" s="138">
        <v>0.18445714738909813</v>
      </c>
      <c r="AM711" s="138">
        <v>0.20455251612680891</v>
      </c>
      <c r="AN711" s="138"/>
      <c r="AO711" s="138"/>
      <c r="AP711" s="138"/>
      <c r="AQ711" s="138"/>
      <c r="AR711" s="138"/>
      <c r="AS711" s="138"/>
      <c r="AT711" s="138"/>
      <c r="AU711" s="138"/>
      <c r="AV711" s="138"/>
      <c r="AW711" s="138"/>
    </row>
    <row r="712" spans="26:49" x14ac:dyDescent="0.2">
      <c r="AA712" s="346"/>
      <c r="AB712" s="150">
        <f>AB713-$AB$702</f>
        <v>0.7</v>
      </c>
      <c r="AC712" s="138">
        <v>-8.8140874850843987E-2</v>
      </c>
      <c r="AD712" s="138">
        <v>-1.8768995212006589E-2</v>
      </c>
      <c r="AE712" s="21">
        <v>2.9413634716295656E-2</v>
      </c>
      <c r="AF712" s="138">
        <v>6.7692282514048685E-2</v>
      </c>
      <c r="AG712" s="138">
        <v>0.10011780413224503</v>
      </c>
      <c r="AH712" s="138">
        <v>0.12864657379679323</v>
      </c>
      <c r="AI712" s="138">
        <v>0.15438424452970501</v>
      </c>
      <c r="AJ712" s="138">
        <v>0.17802106521562</v>
      </c>
      <c r="AK712" s="138">
        <v>0.20001884195998954</v>
      </c>
      <c r="AL712" s="138">
        <v>0.22070275329014311</v>
      </c>
      <c r="AM712" s="138">
        <v>0.24031097068773533</v>
      </c>
      <c r="AN712" s="138"/>
      <c r="AO712" s="138"/>
      <c r="AP712" s="138"/>
      <c r="AQ712" s="138"/>
      <c r="AR712" s="138"/>
      <c r="AS712" s="138"/>
      <c r="AT712" s="138"/>
      <c r="AU712" s="138"/>
      <c r="AV712" s="138"/>
      <c r="AW712" s="138"/>
    </row>
    <row r="713" spans="26:49" x14ac:dyDescent="0.2">
      <c r="AA713" s="346"/>
      <c r="AB713" s="155">
        <v>0.75</v>
      </c>
      <c r="AC713" s="138">
        <v>-1.4840409679958699E-2</v>
      </c>
      <c r="AD713" s="138">
        <v>3.5356524654306165E-2</v>
      </c>
      <c r="AE713" s="21">
        <v>7.5047557863749503E-2</v>
      </c>
      <c r="AF713" s="138">
        <v>0.10860745072987066</v>
      </c>
      <c r="AG713" s="138">
        <v>0.13811679695346335</v>
      </c>
      <c r="AH713" s="138">
        <v>0.16474069842121386</v>
      </c>
      <c r="AI713" s="138">
        <v>0.18920202530819297</v>
      </c>
      <c r="AJ713" s="138">
        <v>0.21198223999096166</v>
      </c>
      <c r="AK713" s="138">
        <v>0.23341920023131024</v>
      </c>
      <c r="AL713" s="138">
        <v>0.25375969021016687</v>
      </c>
      <c r="AM713" s="138">
        <v>0.27318979169525104</v>
      </c>
      <c r="AN713" s="138"/>
      <c r="AO713" s="138"/>
      <c r="AP713" s="138"/>
      <c r="AQ713" s="138"/>
      <c r="AR713" s="138"/>
      <c r="AS713" s="138"/>
      <c r="AT713" s="138"/>
      <c r="AU713" s="138"/>
      <c r="AV713" s="138"/>
      <c r="AW713" s="138"/>
    </row>
    <row r="714" spans="26:49" x14ac:dyDescent="0.2">
      <c r="AA714" s="346"/>
      <c r="AB714" s="150">
        <f>AB713+$AB$702</f>
        <v>0.8</v>
      </c>
      <c r="AC714" s="138">
        <v>3.5356524654306165E-2</v>
      </c>
      <c r="AD714" s="138">
        <v>7.7445144845834868E-2</v>
      </c>
      <c r="AE714" s="21">
        <v>0.11274427534030851</v>
      </c>
      <c r="AF714" s="138">
        <v>0.14364464225814655</v>
      </c>
      <c r="AG714" s="138">
        <v>0.17145200600131294</v>
      </c>
      <c r="AH714" s="138">
        <v>0.19696321436581687</v>
      </c>
      <c r="AI714" s="138">
        <v>0.22070275329014311</v>
      </c>
      <c r="AJ714" s="138">
        <v>0.24303539709404065</v>
      </c>
      <c r="AK714" s="138">
        <v>0.26422572918547438</v>
      </c>
      <c r="AL714" s="138">
        <v>0.28447212351193785</v>
      </c>
      <c r="AM714" s="138">
        <v>0.30392734885974937</v>
      </c>
      <c r="AN714" s="138"/>
      <c r="AO714" s="138"/>
      <c r="AP714" s="138"/>
      <c r="AQ714" s="138"/>
      <c r="AR714" s="138"/>
      <c r="AS714" s="138"/>
      <c r="AT714" s="138"/>
      <c r="AU714" s="138"/>
      <c r="AV714" s="138"/>
      <c r="AW714" s="138"/>
    </row>
    <row r="715" spans="26:49" x14ac:dyDescent="0.2">
      <c r="AA715" s="346"/>
      <c r="AB715" s="150">
        <f>AB714+$AB$702</f>
        <v>0.85000000000000009</v>
      </c>
      <c r="AC715" s="138">
        <v>7.5047557863749281E-2</v>
      </c>
      <c r="AD715" s="138">
        <v>0.11274427534030851</v>
      </c>
      <c r="AE715" s="21">
        <v>0.14546307674004866</v>
      </c>
      <c r="AF715" s="138">
        <v>0.17475371537709039</v>
      </c>
      <c r="AG715" s="138">
        <v>0.20153660401590145</v>
      </c>
      <c r="AH715" s="138">
        <v>0.22640608758212522</v>
      </c>
      <c r="AI715" s="138">
        <v>0.24976967833070551</v>
      </c>
      <c r="AJ715" s="138">
        <v>0.27191970563070988</v>
      </c>
      <c r="AK715" s="138">
        <v>0.29307340944819105</v>
      </c>
      <c r="AL715" s="138">
        <v>0.31339686920783594</v>
      </c>
      <c r="AM715" s="138">
        <v>0.33302003611330666</v>
      </c>
      <c r="AN715" s="138"/>
      <c r="AO715" s="138"/>
      <c r="AP715" s="138"/>
      <c r="AQ715" s="138"/>
      <c r="AR715" s="138"/>
      <c r="AS715" s="138"/>
      <c r="AT715" s="138"/>
      <c r="AU715" s="138"/>
      <c r="AV715" s="138"/>
      <c r="AW715" s="138"/>
    </row>
    <row r="716" spans="26:49" x14ac:dyDescent="0.2">
      <c r="AA716" s="346"/>
      <c r="AB716" s="150">
        <f>AB715+$AB$702</f>
        <v>0.90000000000000013</v>
      </c>
      <c r="AC716" s="138">
        <v>0.10860745072987066</v>
      </c>
      <c r="AD716" s="138">
        <v>0.14364464225814655</v>
      </c>
      <c r="AE716" s="21">
        <v>0.17475371537709039</v>
      </c>
      <c r="AF716" s="138">
        <v>0.20304779668326645</v>
      </c>
      <c r="AG716" s="138">
        <v>0.22922640054338128</v>
      </c>
      <c r="AH716" s="138">
        <v>0.25375969021016687</v>
      </c>
      <c r="AI716" s="138">
        <v>0.27697982617242478</v>
      </c>
      <c r="AJ716" s="138">
        <v>0.29913067509107294</v>
      </c>
      <c r="AK716" s="138">
        <v>0.32039683877043523</v>
      </c>
      <c r="AL716" s="138">
        <v>0.34092157444632387</v>
      </c>
      <c r="AM716" s="138">
        <v>0.36081836556687841</v>
      </c>
      <c r="AN716" s="138"/>
      <c r="AO716" s="138"/>
      <c r="AP716" s="138"/>
      <c r="AQ716" s="138"/>
      <c r="AR716" s="138"/>
      <c r="AS716" s="138"/>
      <c r="AT716" s="138"/>
      <c r="AU716" s="138"/>
      <c r="AV716" s="138"/>
      <c r="AW716" s="138"/>
    </row>
    <row r="717" spans="26:49" x14ac:dyDescent="0.2">
      <c r="AA717" s="346"/>
      <c r="AB717" s="150">
        <f>AB716+$AB$702</f>
        <v>0.95000000000000018</v>
      </c>
      <c r="AC717" s="138">
        <v>0.13811679695346335</v>
      </c>
      <c r="AD717" s="138">
        <v>0.17145200600131294</v>
      </c>
      <c r="AE717" s="138">
        <v>0.20153660401590145</v>
      </c>
      <c r="AF717" s="138">
        <v>0.22922640054338128</v>
      </c>
      <c r="AG717" s="138">
        <v>0.25508156766150192</v>
      </c>
      <c r="AH717" s="138">
        <v>0.27949002764488662</v>
      </c>
      <c r="AI717" s="138">
        <v>0.3027321660052833</v>
      </c>
      <c r="AJ717" s="138">
        <v>0.32501756729408671</v>
      </c>
      <c r="AK717" s="138">
        <v>0.34650718856586704</v>
      </c>
      <c r="AL717" s="138">
        <v>0.36732741632621879</v>
      </c>
      <c r="AM717" s="138">
        <v>0.3875793436994055</v>
      </c>
      <c r="AN717" s="138"/>
      <c r="AO717" s="138"/>
      <c r="AP717" s="138"/>
      <c r="AQ717" s="138"/>
      <c r="AR717" s="138"/>
      <c r="AS717" s="138"/>
      <c r="AT717" s="138"/>
      <c r="AU717" s="138"/>
      <c r="AV717" s="138"/>
      <c r="AW717" s="138"/>
    </row>
    <row r="718" spans="26:49" x14ac:dyDescent="0.2">
      <c r="AA718" s="347"/>
      <c r="AB718" s="151">
        <f>AB717+$AB$702</f>
        <v>1.0000000000000002</v>
      </c>
      <c r="AC718" s="148">
        <v>0.16474069842121386</v>
      </c>
      <c r="AD718" s="146">
        <v>0.19696321436581687</v>
      </c>
      <c r="AE718" s="138">
        <v>0.22640608758212522</v>
      </c>
      <c r="AF718" s="138">
        <v>0.25375969021016687</v>
      </c>
      <c r="AG718" s="138">
        <v>0.27949002764488662</v>
      </c>
      <c r="AH718" s="138">
        <v>0.30392734885974937</v>
      </c>
      <c r="AI718" s="138">
        <v>0.32731466859520797</v>
      </c>
      <c r="AJ718" s="138">
        <v>0.34983624061301799</v>
      </c>
      <c r="AK718" s="138">
        <v>0.37163520281996276</v>
      </c>
      <c r="AL718" s="138">
        <v>0.39282500646067886</v>
      </c>
      <c r="AM718" s="138">
        <v>0.41349709526954648</v>
      </c>
      <c r="AN718" s="138"/>
      <c r="AO718" s="138"/>
      <c r="AP718" s="138"/>
      <c r="AQ718" s="138"/>
      <c r="AR718" s="138"/>
      <c r="AS718" s="138"/>
      <c r="AT718" s="138"/>
      <c r="AU718" s="138"/>
      <c r="AV718" s="138"/>
      <c r="AW718" s="138"/>
    </row>
    <row r="719" spans="26:49" x14ac:dyDescent="0.2">
      <c r="AA719" s="161"/>
      <c r="AC719" s="147"/>
      <c r="AD719" s="146"/>
      <c r="AE719" s="138"/>
      <c r="AF719" s="138"/>
      <c r="AG719" s="138"/>
      <c r="AH719" s="138"/>
      <c r="AI719" s="138"/>
      <c r="AJ719" s="138"/>
      <c r="AK719" s="138"/>
      <c r="AL719" s="138"/>
      <c r="AM719" s="138"/>
      <c r="AN719" s="138"/>
      <c r="AO719" s="138"/>
      <c r="AP719" s="138"/>
      <c r="AQ719" s="138"/>
      <c r="AR719" s="138"/>
      <c r="AS719" s="138"/>
      <c r="AT719" s="138"/>
      <c r="AU719" s="138"/>
      <c r="AV719" s="138"/>
      <c r="AW719" s="138"/>
    </row>
    <row r="720" spans="26:49" x14ac:dyDescent="0.2">
      <c r="Z720" s="18" t="s">
        <v>260</v>
      </c>
      <c r="AA720" s="141"/>
      <c r="AC720" s="147"/>
      <c r="AD720" s="146"/>
      <c r="AE720" s="306"/>
      <c r="AF720" s="306"/>
      <c r="AG720" s="306"/>
      <c r="AH720" s="306"/>
      <c r="AI720" s="306"/>
      <c r="AJ720" s="306"/>
      <c r="AK720" s="306"/>
      <c r="AL720" s="306"/>
      <c r="AM720" s="306"/>
      <c r="AN720" s="138"/>
      <c r="AO720" s="138"/>
      <c r="AP720" s="138"/>
      <c r="AQ720" s="138"/>
      <c r="AR720" s="138"/>
      <c r="AS720" s="138"/>
      <c r="AT720" s="138"/>
      <c r="AU720" s="138"/>
      <c r="AV720" s="138"/>
      <c r="AW720" s="138"/>
    </row>
    <row r="721" spans="16:49" x14ac:dyDescent="0.2">
      <c r="AA721" s="161"/>
      <c r="AC721" s="147"/>
      <c r="AD721" s="146"/>
      <c r="AE721" s="306"/>
      <c r="AF721" s="306"/>
      <c r="AG721" s="306"/>
      <c r="AH721" s="306"/>
      <c r="AI721" s="306"/>
      <c r="AJ721" s="306"/>
      <c r="AK721" s="306"/>
      <c r="AL721" s="306"/>
      <c r="AM721" s="306"/>
      <c r="AN721" s="138"/>
      <c r="AO721" s="138"/>
      <c r="AP721" s="138"/>
      <c r="AQ721" s="138"/>
      <c r="AR721" s="138"/>
      <c r="AS721" s="138"/>
      <c r="AT721" s="138"/>
      <c r="AU721" s="138"/>
      <c r="AV721" s="138"/>
      <c r="AW721" s="138"/>
    </row>
    <row r="722" spans="16:49" x14ac:dyDescent="0.2">
      <c r="AA722" s="1" t="s">
        <v>253</v>
      </c>
      <c r="AB722" s="117" t="str">
        <f ca="1">CELL("address", $G$25)</f>
        <v>$G$25</v>
      </c>
      <c r="AC722" s="147"/>
      <c r="AD722" s="146"/>
      <c r="AE722" s="138"/>
      <c r="AF722" s="138"/>
      <c r="AG722" s="138"/>
      <c r="AH722" s="138"/>
      <c r="AI722" s="138"/>
      <c r="AJ722" s="138"/>
      <c r="AK722" s="138"/>
      <c r="AL722" s="138"/>
      <c r="AM722" s="138"/>
      <c r="AN722" s="138"/>
      <c r="AO722" s="138"/>
      <c r="AP722" s="138"/>
      <c r="AQ722" s="138"/>
      <c r="AR722" s="138"/>
      <c r="AS722" s="138"/>
      <c r="AT722" s="138"/>
      <c r="AU722" s="138"/>
      <c r="AV722" s="138"/>
      <c r="AW722" s="138"/>
    </row>
    <row r="723" spans="16:49" x14ac:dyDescent="0.2">
      <c r="AA723" s="161"/>
      <c r="AC723" s="147"/>
      <c r="AD723" s="146"/>
      <c r="AE723" s="138"/>
      <c r="AF723" s="138"/>
      <c r="AG723" s="138"/>
      <c r="AH723" s="138"/>
      <c r="AI723" s="138"/>
      <c r="AJ723" s="138"/>
      <c r="AK723" s="138"/>
      <c r="AL723" s="138"/>
      <c r="AM723" s="138"/>
      <c r="AN723" s="138"/>
      <c r="AO723" s="138"/>
      <c r="AP723" s="138"/>
      <c r="AQ723" s="138"/>
      <c r="AR723" s="138"/>
      <c r="AS723" s="138"/>
      <c r="AT723" s="138"/>
      <c r="AU723" s="138"/>
      <c r="AV723" s="138"/>
      <c r="AW723" s="138"/>
    </row>
    <row r="724" spans="16:49" x14ac:dyDescent="0.2">
      <c r="AA724" s="161"/>
      <c r="AC724" s="244" t="s">
        <v>230</v>
      </c>
      <c r="AD724" s="245"/>
      <c r="AE724" s="246"/>
      <c r="AF724" s="138"/>
      <c r="AG724" s="138"/>
      <c r="AH724" s="138"/>
      <c r="AI724" s="138"/>
      <c r="AJ724" s="138"/>
      <c r="AK724" s="138"/>
      <c r="AL724" s="138"/>
      <c r="AM724" s="138"/>
      <c r="AN724" s="138"/>
      <c r="AO724" s="138"/>
      <c r="AP724" s="138"/>
      <c r="AQ724" s="138"/>
      <c r="AR724" s="138"/>
      <c r="AS724" s="138"/>
      <c r="AT724" s="138"/>
      <c r="AU724" s="138"/>
      <c r="AV724" s="138"/>
      <c r="AW724" s="138"/>
    </row>
    <row r="725" spans="16:49" x14ac:dyDescent="0.2">
      <c r="AA725" s="161"/>
      <c r="AC725" s="247" t="s">
        <v>23</v>
      </c>
      <c r="AD725" s="248" t="s">
        <v>21</v>
      </c>
      <c r="AE725" s="249" t="s">
        <v>22</v>
      </c>
      <c r="AF725" s="138"/>
      <c r="AG725" s="138"/>
      <c r="AH725" s="138"/>
      <c r="AI725" s="138"/>
      <c r="AJ725" s="138"/>
      <c r="AK725" s="138"/>
      <c r="AL725" s="138"/>
      <c r="AM725" s="138"/>
      <c r="AN725" s="138"/>
      <c r="AO725" s="138"/>
      <c r="AP725" s="138"/>
      <c r="AQ725" s="138"/>
      <c r="AR725" s="138"/>
      <c r="AS725" s="138"/>
      <c r="AT725" s="138"/>
      <c r="AU725" s="138"/>
      <c r="AV725" s="138"/>
      <c r="AW725" s="138"/>
    </row>
    <row r="726" spans="16:49" x14ac:dyDescent="0.2">
      <c r="P726" s="243"/>
      <c r="Q726" s="243"/>
      <c r="R726" s="243"/>
      <c r="S726" s="243"/>
      <c r="T726" s="243"/>
      <c r="U726" s="243"/>
      <c r="V726" s="243">
        <f>C516</f>
        <v>0</v>
      </c>
      <c r="X726" s="243"/>
      <c r="Y726" s="243"/>
      <c r="Z726" s="243"/>
      <c r="AA726" s="250" t="str">
        <f>D516</f>
        <v>Rooms</v>
      </c>
      <c r="AB726" s="253">
        <f>SUM(H516:V516)</f>
        <v>160316409.82054654</v>
      </c>
      <c r="AC726" s="109">
        <f t="dataTable" ref="AC726:AE754" dt2D="0" dtr="1" r1="G25" ca="1"/>
        <v>133908336.31119703</v>
      </c>
      <c r="AD726" s="109">
        <v>160316409.82054654</v>
      </c>
      <c r="AE726" s="13">
        <v>184035962.99629569</v>
      </c>
      <c r="AF726" s="138"/>
      <c r="AG726" s="256">
        <f>AC726-AD726</f>
        <v>-26408073.50934951</v>
      </c>
      <c r="AH726" s="138"/>
      <c r="AI726" s="138"/>
      <c r="AJ726" s="138"/>
      <c r="AK726" s="138"/>
      <c r="AL726" s="138"/>
      <c r="AM726" s="138"/>
      <c r="AN726" s="138"/>
      <c r="AO726" s="138"/>
      <c r="AP726" s="138"/>
      <c r="AQ726" s="138"/>
      <c r="AR726" s="138"/>
      <c r="AS726" s="138"/>
      <c r="AT726" s="138"/>
      <c r="AU726" s="138"/>
      <c r="AV726" s="138"/>
      <c r="AW726" s="138"/>
    </row>
    <row r="727" spans="16:49" x14ac:dyDescent="0.2">
      <c r="AA727" s="251" t="str">
        <f>D517</f>
        <v>Food &amp; Beverage</v>
      </c>
      <c r="AB727" s="254">
        <f>SUM(H517:V517)</f>
        <v>40079102.455136634</v>
      </c>
      <c r="AC727" s="109">
        <v>34519871.873992786</v>
      </c>
      <c r="AD727" s="109">
        <v>40079102.455136634</v>
      </c>
      <c r="AE727" s="13">
        <v>44677264.592938267</v>
      </c>
      <c r="AF727" s="138"/>
      <c r="AG727" s="256">
        <f t="shared" ref="AG727:AG754" si="176">AC727-AD727</f>
        <v>-5559230.5811438486</v>
      </c>
      <c r="AH727" s="138"/>
      <c r="AI727" s="138"/>
      <c r="AJ727" s="138"/>
      <c r="AK727" s="138"/>
      <c r="AL727" s="138"/>
      <c r="AM727" s="138"/>
      <c r="AN727" s="138"/>
      <c r="AO727" s="138"/>
      <c r="AP727" s="138"/>
      <c r="AQ727" s="138"/>
      <c r="AR727" s="138"/>
      <c r="AS727" s="138"/>
      <c r="AT727" s="138"/>
      <c r="AU727" s="138"/>
      <c r="AV727" s="138"/>
      <c r="AW727" s="138"/>
    </row>
    <row r="728" spans="16:49" x14ac:dyDescent="0.2">
      <c r="AA728" s="251" t="str">
        <f>D518</f>
        <v>Other</v>
      </c>
      <c r="AB728" s="254">
        <f>SUM(H518:V518)</f>
        <v>16031640.982054656</v>
      </c>
      <c r="AC728" s="109">
        <v>12944951.952747297</v>
      </c>
      <c r="AD728" s="109">
        <v>16031640.982054656</v>
      </c>
      <c r="AE728" s="13">
        <v>18901919.635473885</v>
      </c>
      <c r="AF728" s="138"/>
      <c r="AG728" s="256">
        <f t="shared" si="176"/>
        <v>-3086689.0293073598</v>
      </c>
      <c r="AH728" s="138"/>
      <c r="AI728" s="138"/>
      <c r="AJ728" s="138"/>
      <c r="AK728" s="138"/>
      <c r="AL728" s="138"/>
      <c r="AM728" s="138"/>
      <c r="AN728" s="138"/>
      <c r="AO728" s="138"/>
      <c r="AP728" s="138"/>
      <c r="AQ728" s="138"/>
      <c r="AR728" s="138"/>
      <c r="AS728" s="138"/>
      <c r="AT728" s="138"/>
      <c r="AU728" s="138"/>
      <c r="AV728" s="138"/>
      <c r="AW728" s="138"/>
    </row>
    <row r="729" spans="16:49" x14ac:dyDescent="0.2">
      <c r="AA729" s="251" t="str">
        <f>D524</f>
        <v>Rooms</v>
      </c>
      <c r="AB729" s="254">
        <f>SUM(H524:V524)</f>
        <v>-44087012.700650312</v>
      </c>
      <c r="AC729" s="13">
        <v>-40172500.893359117</v>
      </c>
      <c r="AD729" s="13">
        <v>-44087012.700650312</v>
      </c>
      <c r="AE729" s="13">
        <v>-46008990.749073923</v>
      </c>
      <c r="AG729" s="256">
        <f t="shared" si="176"/>
        <v>3914511.8072911948</v>
      </c>
    </row>
    <row r="730" spans="16:49" x14ac:dyDescent="0.2">
      <c r="AA730" s="251" t="str">
        <f>D525</f>
        <v>Food &amp; Beverage</v>
      </c>
      <c r="AB730" s="254">
        <f>SUM(H525:V525)</f>
        <v>-28055371.718595646</v>
      </c>
      <c r="AC730" s="13">
        <v>-24854307.749274805</v>
      </c>
      <c r="AD730" s="13">
        <v>-28055371.718595646</v>
      </c>
      <c r="AE730" s="13">
        <v>-30380539.923198018</v>
      </c>
      <c r="AG730" s="256">
        <f t="shared" si="176"/>
        <v>3201063.9693208411</v>
      </c>
    </row>
    <row r="731" spans="16:49" x14ac:dyDescent="0.2">
      <c r="AA731" s="251" t="str">
        <f>D526</f>
        <v>Other</v>
      </c>
      <c r="AB731" s="254">
        <f>SUM(H526:V526)</f>
        <v>-14829267.90840056</v>
      </c>
      <c r="AC731" s="13">
        <v>-12297704.35510993</v>
      </c>
      <c r="AD731" s="13">
        <v>-14829267.90840056</v>
      </c>
      <c r="AE731" s="13">
        <v>-17011727.671926495</v>
      </c>
      <c r="AG731" s="256">
        <f t="shared" si="176"/>
        <v>2531563.5532906298</v>
      </c>
    </row>
    <row r="732" spans="16:49" x14ac:dyDescent="0.2">
      <c r="AA732" s="251" t="str">
        <f t="shared" ref="AA732:AA738" si="177">D534</f>
        <v>Administrative &amp; General</v>
      </c>
      <c r="AB732" s="254">
        <f t="shared" ref="AB732:AB738" si="178">SUM(H534:V534)</f>
        <v>-11470639.122660106</v>
      </c>
      <c r="AC732" s="13">
        <v>-9612777.4873106666</v>
      </c>
      <c r="AD732" s="13">
        <v>-11470639.122660106</v>
      </c>
      <c r="AE732" s="13">
        <v>-13123602.802909516</v>
      </c>
      <c r="AG732" s="256">
        <f t="shared" si="176"/>
        <v>1857861.6353494395</v>
      </c>
    </row>
    <row r="733" spans="16:49" x14ac:dyDescent="0.2">
      <c r="AA733" s="251" t="str">
        <f t="shared" si="177"/>
        <v>Sales &amp; Marketing</v>
      </c>
      <c r="AB733" s="254">
        <f t="shared" si="178"/>
        <v>-10604930.509629155</v>
      </c>
      <c r="AC733" s="13">
        <v>-8887284.8467589188</v>
      </c>
      <c r="AD733" s="13">
        <v>-10604930.509629155</v>
      </c>
      <c r="AE733" s="13">
        <v>-12133142.214010684</v>
      </c>
      <c r="AG733" s="256">
        <f t="shared" si="176"/>
        <v>1717645.6628702357</v>
      </c>
    </row>
    <row r="734" spans="16:49" x14ac:dyDescent="0.2">
      <c r="AA734" s="251" t="str">
        <f t="shared" si="177"/>
        <v>Repairs &amp; Maintenance</v>
      </c>
      <c r="AB734" s="254">
        <f t="shared" si="178"/>
        <v>-10821357.662886892</v>
      </c>
      <c r="AC734" s="13">
        <v>-9068658.0068968572</v>
      </c>
      <c r="AD734" s="13">
        <v>-10821357.662886892</v>
      </c>
      <c r="AE734" s="13">
        <v>-12380757.361235395</v>
      </c>
      <c r="AG734" s="256">
        <f t="shared" si="176"/>
        <v>1752699.6559900343</v>
      </c>
    </row>
    <row r="735" spans="16:49" x14ac:dyDescent="0.2">
      <c r="AA735" s="251" t="str">
        <f t="shared" si="177"/>
        <v>Franchise Fee</v>
      </c>
      <c r="AB735" s="254">
        <f t="shared" si="178"/>
        <v>-11903493.429175582</v>
      </c>
      <c r="AC735" s="13">
        <v>-9975523.8075865433</v>
      </c>
      <c r="AD735" s="13">
        <v>-11903493.429175582</v>
      </c>
      <c r="AE735" s="13">
        <v>-13618833.097358935</v>
      </c>
      <c r="AG735" s="256">
        <f t="shared" si="176"/>
        <v>1927969.6215890385</v>
      </c>
    </row>
    <row r="736" spans="16:49" x14ac:dyDescent="0.2">
      <c r="AA736" s="251" t="str">
        <f t="shared" si="177"/>
        <v>Utilities</v>
      </c>
      <c r="AB736" s="254">
        <f t="shared" si="178"/>
        <v>-5611074.3437191295</v>
      </c>
      <c r="AC736" s="13">
        <v>-4890315.1821489781</v>
      </c>
      <c r="AD736" s="13">
        <v>-5611074.3437191295</v>
      </c>
      <c r="AE736" s="13">
        <v>-6186082.7897914518</v>
      </c>
      <c r="AG736" s="256">
        <f t="shared" si="176"/>
        <v>720759.16157015134</v>
      </c>
    </row>
    <row r="737" spans="27:33" x14ac:dyDescent="0.2">
      <c r="AA737" s="251" t="str">
        <f t="shared" si="177"/>
        <v>Management Fee</v>
      </c>
      <c r="AB737" s="254">
        <f t="shared" si="178"/>
        <v>-7033882.4808764802</v>
      </c>
      <c r="AC737" s="13">
        <v>-5894627.7044829568</v>
      </c>
      <c r="AD737" s="13">
        <v>-7033882.4808764802</v>
      </c>
      <c r="AE737" s="13">
        <v>-8047492.2848030049</v>
      </c>
      <c r="AG737" s="256">
        <f t="shared" si="176"/>
        <v>1139254.7763935234</v>
      </c>
    </row>
    <row r="738" spans="27:33" x14ac:dyDescent="0.2">
      <c r="AA738" s="251" t="str">
        <f t="shared" si="177"/>
        <v>Other Expenses</v>
      </c>
      <c r="AB738" s="254">
        <f t="shared" si="178"/>
        <v>-6492814.5977321342</v>
      </c>
      <c r="AC738" s="13">
        <v>-5441194.8041381137</v>
      </c>
      <c r="AD738" s="13">
        <v>-6492814.5977321342</v>
      </c>
      <c r="AE738" s="13">
        <v>-7428454.4167412361</v>
      </c>
      <c r="AG738" s="256">
        <f t="shared" si="176"/>
        <v>1051619.7935940204</v>
      </c>
    </row>
    <row r="739" spans="27:33" x14ac:dyDescent="0.2">
      <c r="AA739" s="251" t="str">
        <f>D546</f>
        <v>Insurance</v>
      </c>
      <c r="AB739" s="254">
        <f>SUM(H546:V546)</f>
        <v>-4247874.4498820361</v>
      </c>
      <c r="AC739" s="13">
        <v>-4152320.264878104</v>
      </c>
      <c r="AD739" s="13">
        <v>-4247874.4498820361</v>
      </c>
      <c r="AE739" s="13">
        <v>-4180228.6348859677</v>
      </c>
      <c r="AG739" s="256">
        <f t="shared" si="176"/>
        <v>95554.1850039321</v>
      </c>
    </row>
    <row r="740" spans="27:33" x14ac:dyDescent="0.2">
      <c r="AA740" s="251" t="str">
        <f>D547</f>
        <v>Property Taxes</v>
      </c>
      <c r="AB740" s="254">
        <f>SUM(H547:V547)</f>
        <v>-141595.81499606784</v>
      </c>
      <c r="AC740" s="13">
        <v>-139303.64759591056</v>
      </c>
      <c r="AD740" s="13">
        <v>-141595.81499606784</v>
      </c>
      <c r="AE740" s="13">
        <v>-138379.98239622512</v>
      </c>
      <c r="AG740" s="256">
        <f t="shared" si="176"/>
        <v>2292.1674001572828</v>
      </c>
    </row>
    <row r="741" spans="27:33" x14ac:dyDescent="0.2">
      <c r="AA741" s="251" t="str">
        <f>D548</f>
        <v>FF&amp;E Reserves</v>
      </c>
      <c r="AB741" s="254">
        <f>SUM(H548:V548)</f>
        <v>-5663832.5998427132</v>
      </c>
      <c r="AC741" s="13">
        <v>-5625724.2298348499</v>
      </c>
      <c r="AD741" s="13">
        <v>-5663832.5998427132</v>
      </c>
      <c r="AE741" s="13">
        <v>-5477540.9698505783</v>
      </c>
      <c r="AG741" s="256">
        <f t="shared" si="176"/>
        <v>38108.370007863268</v>
      </c>
    </row>
    <row r="742" spans="27:33" x14ac:dyDescent="0.2">
      <c r="AA742" s="251" t="str">
        <f>D556</f>
        <v>Contributed Equity</v>
      </c>
      <c r="AB742" s="254">
        <f ca="1">SUM(H556:V556)</f>
        <v>21153002.747612201</v>
      </c>
      <c r="AC742" s="13">
        <v>22391234.649412386</v>
      </c>
      <c r="AD742" s="13">
        <v>21153002.747612201</v>
      </c>
      <c r="AE742" s="13">
        <v>20073882.905815549</v>
      </c>
      <c r="AG742" s="256">
        <f t="shared" si="176"/>
        <v>1238231.9018001854</v>
      </c>
    </row>
    <row r="743" spans="27:33" x14ac:dyDescent="0.2">
      <c r="AA743" s="251" t="str">
        <f>D559</f>
        <v>Land Acquisition Cost</v>
      </c>
      <c r="AB743" s="254">
        <f>SUM(H559:V559)</f>
        <v>-1560000</v>
      </c>
      <c r="AC743" s="13">
        <v>-1560000</v>
      </c>
      <c r="AD743" s="13">
        <v>-1560000</v>
      </c>
      <c r="AE743" s="13">
        <v>-1560000</v>
      </c>
      <c r="AG743" s="256">
        <f t="shared" si="176"/>
        <v>0</v>
      </c>
    </row>
    <row r="744" spans="27:33" x14ac:dyDescent="0.2">
      <c r="AA744" s="251" t="str">
        <f>D557</f>
        <v>Construction Loan Proceeds</v>
      </c>
      <c r="AB744" s="254">
        <f ca="1">SUM(H557:V557)</f>
        <v>49357006.41109512</v>
      </c>
      <c r="AC744" s="13">
        <v>52246214.181962229</v>
      </c>
      <c r="AD744" s="13">
        <v>49357006.41109512</v>
      </c>
      <c r="AE744" s="13">
        <v>46839060.11356961</v>
      </c>
      <c r="AG744" s="256">
        <f t="shared" si="176"/>
        <v>2889207.7708671093</v>
      </c>
    </row>
    <row r="745" spans="27:33" x14ac:dyDescent="0.2">
      <c r="AA745" s="251" t="str">
        <f>D558</f>
        <v>Construction Loan Issuance Costs</v>
      </c>
      <c r="AB745" s="254">
        <f ca="1">SUM(H558:V558)</f>
        <v>-740355.09616642678</v>
      </c>
      <c r="AC745" s="13">
        <v>-783693.21272943344</v>
      </c>
      <c r="AD745" s="13">
        <v>-740355.09616642678</v>
      </c>
      <c r="AE745" s="13">
        <v>-702585.90170354408</v>
      </c>
      <c r="AG745" s="256">
        <f t="shared" si="176"/>
        <v>-43338.116563006653</v>
      </c>
    </row>
    <row r="746" spans="27:33" x14ac:dyDescent="0.2">
      <c r="AA746" s="251" t="str">
        <f t="shared" ref="AA746:AA754" si="179">D560</f>
        <v>Construction Capital Expenditures</v>
      </c>
      <c r="AB746" s="254">
        <f t="shared" ref="AB746:AB754" ca="1" si="180">SUM(H560:V560)</f>
        <v>-65803500</v>
      </c>
      <c r="AC746" s="13">
        <v>-69093675</v>
      </c>
      <c r="AD746" s="13">
        <v>-65803500</v>
      </c>
      <c r="AE746" s="13">
        <v>-62513325</v>
      </c>
      <c r="AG746" s="256">
        <f t="shared" si="176"/>
        <v>-3290175</v>
      </c>
    </row>
    <row r="747" spans="27:33" x14ac:dyDescent="0.2">
      <c r="AA747" s="251" t="str">
        <f t="shared" si="179"/>
        <v>Cash Interest on Construction Loan</v>
      </c>
      <c r="AB747" s="254">
        <f t="shared" ca="1" si="180"/>
        <v>-2159369.0304854121</v>
      </c>
      <c r="AC747" s="13">
        <v>-2938849.5477353758</v>
      </c>
      <c r="AD747" s="13">
        <v>-2159369.0304854121</v>
      </c>
      <c r="AE747" s="13">
        <v>-1902836.8171137655</v>
      </c>
      <c r="AG747" s="256">
        <f t="shared" si="176"/>
        <v>-779480.51724996371</v>
      </c>
    </row>
    <row r="748" spans="27:33" x14ac:dyDescent="0.2">
      <c r="AA748" s="251" t="str">
        <f t="shared" si="179"/>
        <v>Construction Loan Principal Repayment</v>
      </c>
      <c r="AB748" s="254">
        <f t="shared" ca="1" si="180"/>
        <v>-49357006.41109512</v>
      </c>
      <c r="AC748" s="13">
        <v>-52246214.181962229</v>
      </c>
      <c r="AD748" s="13">
        <v>-49357006.41109512</v>
      </c>
      <c r="AE748" s="13">
        <v>-46839060.11356961</v>
      </c>
      <c r="AG748" s="256">
        <f t="shared" si="176"/>
        <v>-2889207.7708671093</v>
      </c>
    </row>
    <row r="749" spans="27:33" x14ac:dyDescent="0.2">
      <c r="AA749" s="251" t="str">
        <f t="shared" si="179"/>
        <v>Permanent Loan Proceeds</v>
      </c>
      <c r="AB749" s="254">
        <f t="shared" ca="1" si="180"/>
        <v>49357006.41109512</v>
      </c>
      <c r="AC749" s="13">
        <v>52246214.181962229</v>
      </c>
      <c r="AD749" s="13">
        <v>49357006.41109512</v>
      </c>
      <c r="AE749" s="13">
        <v>46839060.11356961</v>
      </c>
      <c r="AG749" s="256">
        <f t="shared" si="176"/>
        <v>2889207.7708671093</v>
      </c>
    </row>
    <row r="750" spans="27:33" x14ac:dyDescent="0.2">
      <c r="AA750" s="251" t="str">
        <f t="shared" si="179"/>
        <v>Permanent Loan Issuance Costs</v>
      </c>
      <c r="AB750" s="254">
        <f t="shared" ca="1" si="180"/>
        <v>-246785.0320554756</v>
      </c>
      <c r="AC750" s="13">
        <v>-261231.07090981115</v>
      </c>
      <c r="AD750" s="13">
        <v>-246785.0320554756</v>
      </c>
      <c r="AE750" s="13">
        <v>-234195.30056784805</v>
      </c>
      <c r="AG750" s="256">
        <f t="shared" si="176"/>
        <v>-14446.038854335551</v>
      </c>
    </row>
    <row r="751" spans="27:33" x14ac:dyDescent="0.2">
      <c r="AA751" s="251" t="str">
        <f t="shared" si="179"/>
        <v>Cash Interest on Permanent Loan</v>
      </c>
      <c r="AB751" s="254">
        <f t="shared" ca="1" si="180"/>
        <v>-14401003.044874761</v>
      </c>
      <c r="AC751" s="13">
        <v>-14434260.937184561</v>
      </c>
      <c r="AD751" s="13">
        <v>-14401003.044874761</v>
      </c>
      <c r="AE751" s="13">
        <v>-13905906.079140071</v>
      </c>
      <c r="AG751" s="256">
        <f t="shared" si="176"/>
        <v>-33257.89230979979</v>
      </c>
    </row>
    <row r="752" spans="27:33" x14ac:dyDescent="0.2">
      <c r="AA752" s="251" t="str">
        <f t="shared" si="179"/>
        <v>Permanent Loan Principal Repayment</v>
      </c>
      <c r="AB752" s="254">
        <f t="shared" ca="1" si="180"/>
        <v>-49357006.411094986</v>
      </c>
      <c r="AC752" s="13">
        <v>-52246214.181962185</v>
      </c>
      <c r="AD752" s="13">
        <v>-49357006.411095202</v>
      </c>
      <c r="AE752" s="13">
        <v>-46839060.113569655</v>
      </c>
      <c r="AG752" s="256">
        <f t="shared" si="176"/>
        <v>-2889207.7708669826</v>
      </c>
    </row>
    <row r="753" spans="27:33" x14ac:dyDescent="0.2">
      <c r="AA753" s="251" t="str">
        <f t="shared" si="179"/>
        <v>Sale of Property (Reversion)</v>
      </c>
      <c r="AB753" s="254">
        <f t="shared" si="180"/>
        <v>70166710.350807786</v>
      </c>
      <c r="AC753" s="13">
        <v>49065075.019712932</v>
      </c>
      <c r="AD753" s="13">
        <v>70166710.350807786</v>
      </c>
      <c r="AE753" s="13">
        <v>98729188.787567988</v>
      </c>
      <c r="AG753" s="256">
        <f t="shared" si="176"/>
        <v>-21101635.331094854</v>
      </c>
    </row>
    <row r="754" spans="27:33" x14ac:dyDescent="0.2">
      <c r="AA754" s="252" t="str">
        <f t="shared" si="179"/>
        <v>Selling Fees</v>
      </c>
      <c r="AB754" s="255">
        <f t="shared" si="180"/>
        <v>-2806668.4140323116</v>
      </c>
      <c r="AC754" s="13">
        <v>-2085265.6883377999</v>
      </c>
      <c r="AD754" s="13">
        <v>-2806668.4140323116</v>
      </c>
      <c r="AE754" s="13">
        <v>-3702344.5795337996</v>
      </c>
      <c r="AG754" s="256">
        <f t="shared" si="176"/>
        <v>721402.72569451178</v>
      </c>
    </row>
    <row r="755" spans="27:33" x14ac:dyDescent="0.2">
      <c r="AA755" s="243"/>
    </row>
    <row r="756" spans="27:33" x14ac:dyDescent="0.2">
      <c r="AA756" s="243"/>
      <c r="AB756" s="1" t="s">
        <v>175</v>
      </c>
      <c r="AC756" s="107">
        <f>SUM(AC726:AC741)</f>
        <v>40360917.158561349</v>
      </c>
      <c r="AD756" s="107">
        <f>SUM(AD726:AD741)</f>
        <v>55464005.918691002</v>
      </c>
      <c r="AE756" s="107">
        <f>SUM(AE726:AE741)</f>
        <v>71499374.326526403</v>
      </c>
    </row>
    <row r="757" spans="27:33" x14ac:dyDescent="0.2">
      <c r="AA757" s="243"/>
      <c r="AB757" s="1" t="s">
        <v>236</v>
      </c>
      <c r="AC757" s="107">
        <f>SUM(AC726:AC754)</f>
        <v>20660251.370789722</v>
      </c>
      <c r="AD757" s="107">
        <f>SUM(AD726:AD754)</f>
        <v>59066038.399496526</v>
      </c>
      <c r="AE757" s="107">
        <f>SUM(AE726:AE754)</f>
        <v>105781252.34185086</v>
      </c>
    </row>
    <row r="758" spans="27:33" x14ac:dyDescent="0.2">
      <c r="AA758" s="243"/>
      <c r="AD758" s="13"/>
    </row>
    <row r="759" spans="27:33" x14ac:dyDescent="0.2">
      <c r="AA759" s="243"/>
    </row>
    <row r="760" spans="27:33" x14ac:dyDescent="0.2">
      <c r="AA760" s="243"/>
    </row>
    <row r="761" spans="27:33" x14ac:dyDescent="0.2">
      <c r="AA761" s="243"/>
    </row>
    <row r="762" spans="27:33" x14ac:dyDescent="0.2">
      <c r="AA762" s="243"/>
    </row>
  </sheetData>
  <dataConsolidate/>
  <mergeCells count="6">
    <mergeCell ref="AA687:AA697"/>
    <mergeCell ref="AA708:AA718"/>
    <mergeCell ref="AC706:AM706"/>
    <mergeCell ref="AA668:AA678"/>
    <mergeCell ref="AA638:AA640"/>
    <mergeCell ref="AA649:AA659"/>
  </mergeCells>
  <conditionalFormatting sqref="AC708:AM718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3" scale="70" fitToHeight="0" orientation="landscape" r:id="rId1"/>
  <headerFooter>
    <oddFooter>&amp;C&amp;"Arial,Regular"&amp;10&amp;P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Presentation &gt;</vt:lpstr>
      <vt:lpstr>Summary</vt:lpstr>
      <vt:lpstr>Pro Forma</vt:lpstr>
      <vt:lpstr>Graphs</vt:lpstr>
      <vt:lpstr>Model &gt;</vt:lpstr>
      <vt:lpstr>Model</vt:lpstr>
      <vt:lpstr>Graphs!Print_Area</vt:lpstr>
      <vt:lpstr>'Pro Forma'!Print_Area</vt:lpstr>
      <vt:lpstr>Summary!Print_Area</vt:lpstr>
      <vt:lpstr>Model!Print_Titles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Huddleston</dc:creator>
  <cp:lastModifiedBy>jack huddleston</cp:lastModifiedBy>
  <cp:lastPrinted>2018-03-07T19:52:30Z</cp:lastPrinted>
  <dcterms:created xsi:type="dcterms:W3CDTF">2018-02-20T02:01:12Z</dcterms:created>
  <dcterms:modified xsi:type="dcterms:W3CDTF">2026-02-24T15:11:12Z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