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xl/webextensions/webextension3.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hidePivotFieldList="1" defaultThemeVersion="166925"/>
  <mc:AlternateContent xmlns:mc="http://schemas.openxmlformats.org/markup-compatibility/2006">
    <mc:Choice Requires="x15">
      <x15ac:absPath xmlns:x15ac="http://schemas.microsoft.com/office/spreadsheetml/2010/11/ac" url="/Users/joor/Downloads/"/>
    </mc:Choice>
  </mc:AlternateContent>
  <xr:revisionPtr revIDLastSave="0" documentId="8_{30D31033-6CCE-6A46-BF39-1F3FC6C12CDE}" xr6:coauthVersionLast="47" xr6:coauthVersionMax="47" xr10:uidLastSave="{00000000-0000-0000-0000-000000000000}"/>
  <bookViews>
    <workbookView xWindow="0" yWindow="500" windowWidth="28800" windowHeight="16260" activeTab="1" xr2:uid="{EECD77C1-CFBF-43D7-B302-22DDBE71020A}"/>
  </bookViews>
  <sheets>
    <sheet name="Prompt" sheetId="5" r:id="rId1"/>
    <sheet name="is-bs-cfs" sheetId="16" r:id="rId2"/>
    <sheet name="Sheet2" sheetId="20" r:id="rId3"/>
    <sheet name="Sheet1" sheetId="19" r:id="rId4"/>
    <sheet name="executive summary" sheetId="18" r:id="rId5"/>
    <sheet name="ARR by customer" sheetId="17" r:id="rId6"/>
    <sheet name="Comps" sheetId="15" r:id="rId7"/>
    <sheet name="Primer" sheetId="1" r:id="rId8"/>
    <sheet name="Sheet3" sheetId="21" r:id="rId9"/>
    <sheet name="Sheet4" sheetId="22" r:id="rId10"/>
  </sheets>
  <definedNames>
    <definedName name="CreatedFor">#REF!</definedName>
    <definedName name="CreatedForTitle">#REF!</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22" l="1"/>
  <c r="F16" i="22"/>
  <c r="E16" i="22"/>
  <c r="G15" i="22"/>
  <c r="F15" i="22"/>
  <c r="E15" i="22"/>
  <c r="G14" i="22"/>
  <c r="F14" i="22"/>
  <c r="E14" i="22"/>
  <c r="G13" i="22"/>
  <c r="F13" i="22"/>
  <c r="E13" i="22"/>
  <c r="G12" i="22"/>
  <c r="F12" i="22"/>
  <c r="E12" i="22"/>
  <c r="G11" i="22"/>
  <c r="F11" i="22"/>
  <c r="E11" i="22"/>
  <c r="G10" i="22"/>
  <c r="F10" i="22"/>
  <c r="E10" i="22"/>
  <c r="G9" i="22"/>
  <c r="F9" i="22"/>
  <c r="E9" i="22"/>
  <c r="G8" i="22"/>
  <c r="F8" i="22"/>
  <c r="E8" i="22"/>
  <c r="G7" i="22"/>
  <c r="F7" i="22"/>
  <c r="E7" i="22"/>
  <c r="G6" i="22"/>
  <c r="F6" i="22"/>
  <c r="E6" i="22"/>
  <c r="G5" i="22"/>
  <c r="F5" i="22"/>
  <c r="E5" i="22"/>
  <c r="G4" i="22"/>
  <c r="F4" i="22"/>
  <c r="E4" i="22"/>
  <c r="G3" i="22"/>
  <c r="F3" i="22"/>
  <c r="E3" i="22"/>
  <c r="G2" i="22"/>
  <c r="F2" i="22"/>
  <c r="E2" i="22"/>
  <c r="F2" i="21"/>
  <c r="G2" i="21"/>
  <c r="H2" i="21"/>
  <c r="F3" i="21"/>
  <c r="G3" i="21"/>
  <c r="H3" i="21"/>
  <c r="F4" i="21"/>
  <c r="G4" i="21"/>
  <c r="H4" i="21"/>
  <c r="F5" i="21"/>
  <c r="G5" i="21"/>
  <c r="H5" i="21"/>
  <c r="F6" i="21"/>
  <c r="G6" i="21"/>
  <c r="H6" i="21"/>
  <c r="F7" i="21"/>
  <c r="G7" i="21"/>
  <c r="H7" i="21"/>
  <c r="F8" i="21"/>
  <c r="G8" i="21"/>
  <c r="H8" i="21"/>
  <c r="F9" i="21"/>
  <c r="G9" i="21"/>
  <c r="H9" i="21"/>
  <c r="F10" i="21"/>
  <c r="G10" i="21"/>
  <c r="H10" i="21"/>
  <c r="F11" i="21"/>
  <c r="G11" i="21"/>
  <c r="H11" i="21"/>
  <c r="F12" i="21"/>
  <c r="G12" i="21"/>
  <c r="H12" i="21"/>
  <c r="F13" i="21"/>
  <c r="G13" i="21"/>
  <c r="H13" i="21"/>
  <c r="F14" i="21"/>
  <c r="G14" i="21"/>
  <c r="H14" i="21"/>
  <c r="F15" i="21"/>
  <c r="G15" i="21"/>
  <c r="H15" i="21"/>
  <c r="F16" i="21"/>
  <c r="G16" i="21"/>
  <c r="H16" i="21"/>
  <c r="G13" i="19"/>
  <c r="F13" i="19"/>
  <c r="E13" i="19"/>
  <c r="D13" i="19"/>
  <c r="G12" i="19"/>
  <c r="F12" i="19"/>
  <c r="E12" i="19"/>
  <c r="D12" i="19"/>
  <c r="G11" i="19"/>
  <c r="F11" i="19"/>
  <c r="E11" i="19"/>
  <c r="D11" i="19"/>
  <c r="D10" i="19"/>
  <c r="D14" i="19"/>
  <c r="C18" i="18"/>
  <c r="D18" i="18"/>
  <c r="E18" i="18"/>
  <c r="C19" i="18"/>
  <c r="D19" i="18"/>
  <c r="E19" i="18"/>
  <c r="C20" i="18"/>
  <c r="C21" i="18"/>
  <c r="C22" i="18"/>
  <c r="C23" i="18"/>
  <c r="C24" i="18"/>
  <c r="C9" i="18"/>
  <c r="D9" i="18"/>
  <c r="E9" i="18"/>
  <c r="C10" i="18"/>
  <c r="D10" i="18"/>
  <c r="E10" i="18"/>
  <c r="C11" i="18"/>
  <c r="D11" i="18"/>
  <c r="E11" i="18"/>
  <c r="C12" i="18"/>
  <c r="D12" i="18"/>
  <c r="E12" i="18"/>
  <c r="C13" i="18"/>
  <c r="D13" i="18"/>
  <c r="E13" i="18"/>
  <c r="C14" i="18"/>
  <c r="D14" i="18"/>
  <c r="E14" i="18"/>
  <c r="C28" i="18"/>
  <c r="D28" i="18"/>
  <c r="E28" i="18"/>
  <c r="C29" i="18"/>
  <c r="D29" i="18"/>
  <c r="E29" i="18"/>
  <c r="C30" i="18"/>
  <c r="D30" i="18"/>
  <c r="E30" i="18"/>
  <c r="C31" i="18"/>
  <c r="D31" i="18"/>
  <c r="E31" i="18"/>
  <c r="C32" i="18"/>
  <c r="D32" i="18"/>
  <c r="E32" i="18"/>
  <c r="E17" i="22"/>
  <c r="G17" i="21"/>
  <c r="H17" i="21"/>
  <c r="F17" i="21"/>
  <c r="E10" i="19"/>
  <c r="E14" i="19"/>
  <c r="D15" i="19"/>
  <c r="G2" i="16"/>
  <c r="G52" i="16"/>
  <c r="AN52" i="16"/>
  <c r="AM52" i="16"/>
  <c r="AL52" i="16"/>
  <c r="AK52" i="16"/>
  <c r="AJ52" i="16"/>
  <c r="AI52" i="16"/>
  <c r="AH52" i="16"/>
  <c r="AG52" i="16"/>
  <c r="AF52" i="16"/>
  <c r="AE52" i="16"/>
  <c r="AD52" i="16"/>
  <c r="AC52" i="16"/>
  <c r="AB52" i="16"/>
  <c r="AA52" i="16"/>
  <c r="Z52" i="16"/>
  <c r="Y52" i="16"/>
  <c r="X52" i="16"/>
  <c r="W52" i="16"/>
  <c r="V52" i="16"/>
  <c r="U52" i="16"/>
  <c r="T52" i="16"/>
  <c r="S52" i="16"/>
  <c r="R52" i="16"/>
  <c r="Q52" i="16"/>
  <c r="P52" i="16"/>
  <c r="O52" i="16"/>
  <c r="N52" i="16"/>
  <c r="M52" i="16"/>
  <c r="L52" i="16"/>
  <c r="K52" i="16"/>
  <c r="J52" i="16"/>
  <c r="I52" i="16"/>
  <c r="H52" i="16"/>
  <c r="C4" i="15"/>
  <c r="F52" i="16"/>
  <c r="C433" i="15"/>
  <c r="G408" i="15"/>
  <c r="F408" i="15"/>
  <c r="E408" i="15"/>
  <c r="D408" i="15"/>
  <c r="C408" i="15"/>
  <c r="C7" i="15"/>
  <c r="C6" i="15"/>
  <c r="M214" i="15"/>
  <c r="M287" i="15"/>
  <c r="M359" i="15"/>
  <c r="F10" i="19"/>
  <c r="F14" i="19"/>
  <c r="E15" i="19"/>
  <c r="D433" i="15"/>
  <c r="E433" i="15"/>
  <c r="F433" i="15"/>
  <c r="G433" i="15"/>
  <c r="I433" i="15"/>
  <c r="F419" i="15"/>
  <c r="E419" i="15"/>
  <c r="D419" i="15"/>
  <c r="C419" i="15"/>
  <c r="G419" i="15"/>
  <c r="M433" i="15"/>
  <c r="F24" i="17"/>
  <c r="G24" i="17"/>
  <c r="H24" i="17"/>
  <c r="I24" i="17"/>
  <c r="J24" i="17"/>
  <c r="K24" i="17"/>
  <c r="L24" i="17"/>
  <c r="M24" i="17"/>
  <c r="N24" i="17"/>
  <c r="O24" i="17"/>
  <c r="P24" i="17"/>
  <c r="Q24" i="17"/>
  <c r="R24" i="17"/>
  <c r="S24" i="17"/>
  <c r="T24" i="17"/>
  <c r="U24" i="17"/>
  <c r="V24" i="17"/>
  <c r="W24" i="17"/>
  <c r="X24" i="17"/>
  <c r="Y24" i="17"/>
  <c r="Z24" i="17"/>
  <c r="AA24" i="17"/>
  <c r="AB24" i="17"/>
  <c r="AC24" i="17"/>
  <c r="AD24" i="17"/>
  <c r="AE24" i="17"/>
  <c r="AF24" i="17"/>
  <c r="AG24" i="17"/>
  <c r="AH24" i="17"/>
  <c r="AI24" i="17"/>
  <c r="AJ24" i="17"/>
  <c r="AK24" i="17"/>
  <c r="AL24" i="17"/>
  <c r="AM24" i="17"/>
  <c r="AN24" i="17"/>
  <c r="AO24" i="17"/>
  <c r="AP24" i="17"/>
  <c r="AQ24" i="17"/>
  <c r="AR24" i="17"/>
  <c r="AS24" i="17"/>
  <c r="AT24" i="17"/>
  <c r="AU24" i="17"/>
  <c r="E24" i="17"/>
  <c r="F23" i="17"/>
  <c r="G23" i="17"/>
  <c r="H23" i="17"/>
  <c r="I23" i="17"/>
  <c r="J23" i="17"/>
  <c r="K23" i="17"/>
  <c r="L23" i="17"/>
  <c r="M23" i="17"/>
  <c r="N23" i="17"/>
  <c r="O23" i="17"/>
  <c r="P23" i="17"/>
  <c r="Q23" i="17"/>
  <c r="R23" i="17"/>
  <c r="S23" i="17"/>
  <c r="T23" i="17"/>
  <c r="U23" i="17"/>
  <c r="V23" i="17"/>
  <c r="W23" i="17"/>
  <c r="X23" i="17"/>
  <c r="Y23" i="17"/>
  <c r="Z23" i="17"/>
  <c r="AA23" i="17"/>
  <c r="AB23" i="17"/>
  <c r="AC23" i="17"/>
  <c r="AD23" i="17"/>
  <c r="AE23" i="17"/>
  <c r="AF23" i="17"/>
  <c r="AG23" i="17"/>
  <c r="AH23" i="17"/>
  <c r="AI23" i="17"/>
  <c r="AJ23" i="17"/>
  <c r="AK23" i="17"/>
  <c r="AL23" i="17"/>
  <c r="AM23" i="17"/>
  <c r="AN23" i="17"/>
  <c r="AO23" i="17"/>
  <c r="AP23" i="17"/>
  <c r="AQ23" i="17"/>
  <c r="AR23" i="17"/>
  <c r="AS23" i="17"/>
  <c r="AT23" i="17"/>
  <c r="AU23" i="17"/>
  <c r="E23" i="17"/>
  <c r="F15" i="17"/>
  <c r="G15" i="17"/>
  <c r="H15" i="17"/>
  <c r="I15" i="17"/>
  <c r="J15" i="17"/>
  <c r="K15" i="17"/>
  <c r="L15" i="17"/>
  <c r="M15" i="17"/>
  <c r="N15" i="17"/>
  <c r="O15" i="17"/>
  <c r="P15" i="17"/>
  <c r="Q15" i="17"/>
  <c r="R15" i="17"/>
  <c r="S15" i="17"/>
  <c r="T15" i="17"/>
  <c r="U15" i="17"/>
  <c r="V15" i="17"/>
  <c r="W15" i="17"/>
  <c r="X15" i="17"/>
  <c r="Y15" i="17"/>
  <c r="Z15" i="17"/>
  <c r="AA15" i="17"/>
  <c r="AB15" i="17"/>
  <c r="AC15" i="17"/>
  <c r="AD15" i="17"/>
  <c r="AE15" i="17"/>
  <c r="AF15" i="17"/>
  <c r="AG15" i="17"/>
  <c r="AH15" i="17"/>
  <c r="AI15" i="17"/>
  <c r="AJ15" i="17"/>
  <c r="AK15" i="17"/>
  <c r="AL15" i="17"/>
  <c r="AM15" i="17"/>
  <c r="AN15" i="17"/>
  <c r="AO15" i="17"/>
  <c r="AP15" i="17"/>
  <c r="AQ15" i="17"/>
  <c r="AR15" i="17"/>
  <c r="AS15" i="17"/>
  <c r="AT15" i="17"/>
  <c r="AU15" i="17"/>
  <c r="E15" i="17"/>
  <c r="F14" i="17"/>
  <c r="G14" i="17"/>
  <c r="H14" i="17"/>
  <c r="I14" i="17"/>
  <c r="J14" i="17"/>
  <c r="K14" i="17"/>
  <c r="L14" i="17"/>
  <c r="M14" i="17"/>
  <c r="N14" i="17"/>
  <c r="O14" i="17"/>
  <c r="P14" i="17"/>
  <c r="Q14" i="17"/>
  <c r="R14" i="17"/>
  <c r="S14" i="17"/>
  <c r="T14" i="17"/>
  <c r="U14" i="17"/>
  <c r="V14" i="17"/>
  <c r="W14" i="17"/>
  <c r="X14" i="17"/>
  <c r="Y14" i="17"/>
  <c r="Z14" i="17"/>
  <c r="AA14" i="17"/>
  <c r="AB14" i="17"/>
  <c r="AC14" i="17"/>
  <c r="AD14" i="17"/>
  <c r="AE14" i="17"/>
  <c r="AF14" i="17"/>
  <c r="AG14" i="17"/>
  <c r="AH14" i="17"/>
  <c r="AI14" i="17"/>
  <c r="AJ14" i="17"/>
  <c r="AK14" i="17"/>
  <c r="AL14" i="17"/>
  <c r="AM14" i="17"/>
  <c r="AN14" i="17"/>
  <c r="AO14" i="17"/>
  <c r="AP14" i="17"/>
  <c r="AQ14" i="17"/>
  <c r="AR14" i="17"/>
  <c r="AS14" i="17"/>
  <c r="AT14" i="17"/>
  <c r="AU14" i="17"/>
  <c r="E14" i="17"/>
  <c r="F13" i="17"/>
  <c r="G13" i="17"/>
  <c r="H13" i="17"/>
  <c r="I13" i="17"/>
  <c r="J13" i="17"/>
  <c r="K13" i="17"/>
  <c r="L13" i="17"/>
  <c r="M13" i="17"/>
  <c r="N13" i="17"/>
  <c r="O13" i="17"/>
  <c r="P13" i="17"/>
  <c r="Q13" i="17"/>
  <c r="R13" i="17"/>
  <c r="S13" i="17"/>
  <c r="T13" i="17"/>
  <c r="U13" i="17"/>
  <c r="V13" i="17"/>
  <c r="W13" i="17"/>
  <c r="X13" i="17"/>
  <c r="Y13" i="17"/>
  <c r="Z13" i="17"/>
  <c r="AA13" i="17"/>
  <c r="AB13" i="17"/>
  <c r="AC13" i="17"/>
  <c r="AD13" i="17"/>
  <c r="AE13" i="17"/>
  <c r="AF13" i="17"/>
  <c r="AG13" i="17"/>
  <c r="AH13" i="17"/>
  <c r="AI13" i="17"/>
  <c r="AJ13" i="17"/>
  <c r="AK13" i="17"/>
  <c r="AL13" i="17"/>
  <c r="AM13" i="17"/>
  <c r="AN13" i="17"/>
  <c r="AO13" i="17"/>
  <c r="AP13" i="17"/>
  <c r="AQ13" i="17"/>
  <c r="AR13" i="17"/>
  <c r="AS13" i="17"/>
  <c r="AT13" i="17"/>
  <c r="AU13" i="17"/>
  <c r="E13" i="17"/>
  <c r="F15" i="19"/>
  <c r="G10" i="19"/>
  <c r="G14" i="19"/>
  <c r="G15" i="19"/>
  <c r="J433" i="15"/>
  <c r="K433" i="15"/>
  <c r="L433" i="15"/>
  <c r="AM36" i="16"/>
  <c r="AL36" i="16"/>
  <c r="AK36" i="16"/>
  <c r="AJ36" i="16"/>
  <c r="AH36" i="16"/>
  <c r="AG36" i="16"/>
  <c r="AF36" i="16"/>
  <c r="AE36" i="16"/>
  <c r="AC36" i="16"/>
  <c r="AB36" i="16"/>
  <c r="AA36" i="16"/>
  <c r="Z36" i="16"/>
  <c r="X36" i="16"/>
  <c r="W36" i="16"/>
  <c r="K465" i="17"/>
  <c r="L465" i="17"/>
  <c r="M465" i="17"/>
  <c r="N465" i="17"/>
  <c r="O465" i="17"/>
  <c r="R111" i="1"/>
  <c r="R112" i="1"/>
  <c r="R113" i="1"/>
  <c r="R114" i="1"/>
  <c r="R115" i="1"/>
  <c r="R116" i="1"/>
  <c r="R117" i="1"/>
  <c r="R118" i="1"/>
  <c r="R119" i="1"/>
  <c r="R120" i="1"/>
  <c r="R121" i="1"/>
  <c r="T109" i="1"/>
  <c r="U109" i="1"/>
  <c r="V109" i="1"/>
  <c r="W109" i="1"/>
  <c r="X109" i="1"/>
  <c r="Y109" i="1"/>
  <c r="Z109" i="1"/>
  <c r="AA109" i="1"/>
  <c r="AB109" i="1"/>
  <c r="AC109" i="1"/>
  <c r="AD109" i="1"/>
  <c r="C92" i="1"/>
  <c r="C93" i="1"/>
  <c r="C94" i="1"/>
  <c r="C95" i="1"/>
  <c r="C96" i="1"/>
  <c r="C97" i="1"/>
  <c r="C98" i="1"/>
  <c r="C99" i="1"/>
  <c r="C100" i="1"/>
  <c r="C101" i="1"/>
  <c r="C102" i="1"/>
  <c r="C75" i="1"/>
  <c r="C58" i="1"/>
  <c r="F465" i="17"/>
  <c r="G465" i="17"/>
  <c r="H465" i="17"/>
  <c r="I465" i="17"/>
  <c r="J465" i="17"/>
  <c r="P465" i="17"/>
  <c r="Q465" i="17"/>
  <c r="R465" i="17"/>
  <c r="S465" i="17"/>
  <c r="T465" i="17"/>
  <c r="U465" i="17"/>
  <c r="V465" i="17"/>
  <c r="W465" i="17"/>
  <c r="X465" i="17"/>
  <c r="Y465" i="17"/>
  <c r="Z465" i="17"/>
  <c r="AA465" i="17"/>
  <c r="AB465" i="17"/>
  <c r="AC465" i="17"/>
  <c r="AD465" i="17"/>
  <c r="AE465" i="17"/>
  <c r="AF465" i="17"/>
  <c r="AG465" i="17"/>
  <c r="AH465" i="17"/>
  <c r="AI465" i="17"/>
  <c r="AJ465" i="17"/>
  <c r="AK465" i="17"/>
  <c r="AL465" i="17"/>
  <c r="AM465" i="17"/>
  <c r="AN465" i="17"/>
  <c r="AO465" i="17"/>
  <c r="AP465" i="17"/>
  <c r="AQ465" i="17"/>
  <c r="AR465" i="17"/>
  <c r="AS465" i="17"/>
  <c r="AT465" i="17"/>
  <c r="AU465" i="17"/>
  <c r="E465" i="17"/>
  <c r="E25" i="17"/>
  <c r="E3" i="17"/>
  <c r="E31" i="17"/>
  <c r="AN119" i="16"/>
  <c r="AM119" i="16"/>
  <c r="AL119" i="16"/>
  <c r="AK119" i="16"/>
  <c r="AJ119" i="16"/>
  <c r="AI119" i="16"/>
  <c r="AH119" i="16"/>
  <c r="AG119" i="16"/>
  <c r="AF119" i="16"/>
  <c r="AE119" i="16"/>
  <c r="AD119" i="16"/>
  <c r="AC119" i="16"/>
  <c r="AB119" i="16"/>
  <c r="AA119" i="16"/>
  <c r="Z119" i="16"/>
  <c r="Y119" i="16"/>
  <c r="X119" i="16"/>
  <c r="W119" i="16"/>
  <c r="V119" i="16"/>
  <c r="U119" i="16"/>
  <c r="T119" i="16"/>
  <c r="S119" i="16"/>
  <c r="R119" i="16"/>
  <c r="Q119" i="16"/>
  <c r="P119" i="16"/>
  <c r="O119" i="16"/>
  <c r="N119" i="16"/>
  <c r="M119" i="16"/>
  <c r="L119" i="16"/>
  <c r="K119" i="16"/>
  <c r="J119" i="16"/>
  <c r="I119" i="16"/>
  <c r="H119" i="16"/>
  <c r="G119" i="16"/>
  <c r="F119" i="16"/>
  <c r="AN116" i="16"/>
  <c r="AM116" i="16"/>
  <c r="AL116" i="16"/>
  <c r="AK116" i="16"/>
  <c r="AJ116" i="16"/>
  <c r="AI116" i="16"/>
  <c r="AH116" i="16"/>
  <c r="AG116" i="16"/>
  <c r="AF116" i="16"/>
  <c r="AE116" i="16"/>
  <c r="AD116" i="16"/>
  <c r="AC116" i="16"/>
  <c r="AB116" i="16"/>
  <c r="AA116" i="16"/>
  <c r="Z116" i="16"/>
  <c r="Y116" i="16"/>
  <c r="X116" i="16"/>
  <c r="W116" i="16"/>
  <c r="V116" i="16"/>
  <c r="U116" i="16"/>
  <c r="T116" i="16"/>
  <c r="S116" i="16"/>
  <c r="R116" i="16"/>
  <c r="Q116" i="16"/>
  <c r="P116" i="16"/>
  <c r="O116" i="16"/>
  <c r="N116" i="16"/>
  <c r="M116" i="16"/>
  <c r="L116" i="16"/>
  <c r="K116" i="16"/>
  <c r="J116" i="16"/>
  <c r="I116" i="16"/>
  <c r="H116" i="16"/>
  <c r="G116" i="16"/>
  <c r="F116" i="16"/>
  <c r="AN112" i="16"/>
  <c r="AM112" i="16"/>
  <c r="AL112" i="16"/>
  <c r="AK112" i="16"/>
  <c r="AJ112" i="16"/>
  <c r="AI112" i="16"/>
  <c r="AH112" i="16"/>
  <c r="AG112" i="16"/>
  <c r="AF112" i="16"/>
  <c r="AE112" i="16"/>
  <c r="AD112" i="16"/>
  <c r="AC112" i="16"/>
  <c r="AB112" i="16"/>
  <c r="AA112" i="16"/>
  <c r="Z112" i="16"/>
  <c r="Y112" i="16"/>
  <c r="X112" i="16"/>
  <c r="W112" i="16"/>
  <c r="V112" i="16"/>
  <c r="U112" i="16"/>
  <c r="T112" i="16"/>
  <c r="S112" i="16"/>
  <c r="R112" i="16"/>
  <c r="Q112" i="16"/>
  <c r="P112" i="16"/>
  <c r="O112" i="16"/>
  <c r="N112" i="16"/>
  <c r="M112" i="16"/>
  <c r="L112" i="16"/>
  <c r="K112" i="16"/>
  <c r="J112" i="16"/>
  <c r="I112" i="16"/>
  <c r="H112" i="16"/>
  <c r="G112" i="16"/>
  <c r="F112" i="16"/>
  <c r="AM108" i="16"/>
  <c r="AN108" i="16"/>
  <c r="AL108" i="16"/>
  <c r="AK108" i="16"/>
  <c r="AJ108" i="16"/>
  <c r="AH108" i="16"/>
  <c r="AI108" i="16"/>
  <c r="AG108" i="16"/>
  <c r="AF108" i="16"/>
  <c r="AE108" i="16"/>
  <c r="AC108" i="16"/>
  <c r="AD108" i="16"/>
  <c r="AB108" i="16"/>
  <c r="AA108" i="16"/>
  <c r="Z108" i="16"/>
  <c r="X108" i="16"/>
  <c r="W108" i="16"/>
  <c r="V108" i="16"/>
  <c r="U108" i="16"/>
  <c r="S108" i="16"/>
  <c r="R108" i="16"/>
  <c r="Q108" i="16"/>
  <c r="P108" i="16"/>
  <c r="N108" i="16"/>
  <c r="O108" i="16"/>
  <c r="M108" i="16"/>
  <c r="L108" i="16"/>
  <c r="K108" i="16"/>
  <c r="I108" i="16"/>
  <c r="H108" i="16"/>
  <c r="G108" i="16"/>
  <c r="F108" i="16"/>
  <c r="J103" i="16"/>
  <c r="AN102" i="16"/>
  <c r="AM102" i="16"/>
  <c r="AL102" i="16"/>
  <c r="AK102" i="16"/>
  <c r="AJ102" i="16"/>
  <c r="AH102" i="16"/>
  <c r="AG102" i="16"/>
  <c r="AF102" i="16"/>
  <c r="AE102" i="16"/>
  <c r="AC102" i="16"/>
  <c r="AB102" i="16"/>
  <c r="AA102" i="16"/>
  <c r="Z102" i="16"/>
  <c r="X102" i="16"/>
  <c r="W102" i="16"/>
  <c r="V102" i="16"/>
  <c r="U102" i="16"/>
  <c r="T102" i="16"/>
  <c r="S102" i="16"/>
  <c r="R102" i="16"/>
  <c r="Q102" i="16"/>
  <c r="P102" i="16"/>
  <c r="O102" i="16"/>
  <c r="N102" i="16"/>
  <c r="M102" i="16"/>
  <c r="L102" i="16"/>
  <c r="K102" i="16"/>
  <c r="J102" i="16"/>
  <c r="I102" i="16"/>
  <c r="H102" i="16"/>
  <c r="G102" i="16"/>
  <c r="F102" i="16"/>
  <c r="AI101" i="16"/>
  <c r="AI102" i="16"/>
  <c r="AD101" i="16"/>
  <c r="AD102" i="16"/>
  <c r="Y101" i="16"/>
  <c r="Y102" i="16"/>
  <c r="AN99" i="16"/>
  <c r="AM99" i="16"/>
  <c r="AL99" i="16"/>
  <c r="AK99" i="16"/>
  <c r="AJ99" i="16"/>
  <c r="AH99" i="16"/>
  <c r="AG99" i="16"/>
  <c r="AF99" i="16"/>
  <c r="AE99" i="16"/>
  <c r="AC99" i="16"/>
  <c r="AB99" i="16"/>
  <c r="AA99" i="16"/>
  <c r="Z99" i="16"/>
  <c r="X99" i="16"/>
  <c r="W99" i="16"/>
  <c r="V99" i="16"/>
  <c r="U99" i="16"/>
  <c r="T99" i="16"/>
  <c r="S99" i="16"/>
  <c r="R99" i="16"/>
  <c r="Q99" i="16"/>
  <c r="P99" i="16"/>
  <c r="O99" i="16"/>
  <c r="N99" i="16"/>
  <c r="M99" i="16"/>
  <c r="L99" i="16"/>
  <c r="K99" i="16"/>
  <c r="J99" i="16"/>
  <c r="I99" i="16"/>
  <c r="H99" i="16"/>
  <c r="G99" i="16"/>
  <c r="F99" i="16"/>
  <c r="AI98" i="16"/>
  <c r="AI99" i="16"/>
  <c r="AD98" i="16"/>
  <c r="AD99" i="16"/>
  <c r="Y98" i="16"/>
  <c r="Y99" i="16"/>
  <c r="AI95" i="16"/>
  <c r="AD95" i="16"/>
  <c r="Y95" i="16"/>
  <c r="AI94" i="16"/>
  <c r="AD94" i="16"/>
  <c r="Y94" i="16"/>
  <c r="AI92" i="16"/>
  <c r="AD92" i="16"/>
  <c r="Y92" i="16"/>
  <c r="AN84" i="16"/>
  <c r="AM84" i="16"/>
  <c r="AL84" i="16"/>
  <c r="AK84" i="16"/>
  <c r="AJ84" i="16"/>
  <c r="AI84" i="16"/>
  <c r="AH84" i="16"/>
  <c r="AG84" i="16"/>
  <c r="AF84" i="16"/>
  <c r="AE84" i="16"/>
  <c r="AD84" i="16"/>
  <c r="AC84" i="16"/>
  <c r="AB84" i="16"/>
  <c r="AA84" i="16"/>
  <c r="Z84" i="16"/>
  <c r="X84" i="16"/>
  <c r="W84" i="16"/>
  <c r="V84" i="16"/>
  <c r="U84" i="16"/>
  <c r="T84" i="16"/>
  <c r="S84" i="16"/>
  <c r="R84" i="16"/>
  <c r="Q84" i="16"/>
  <c r="P84" i="16"/>
  <c r="O84" i="16"/>
  <c r="N84" i="16"/>
  <c r="M84" i="16"/>
  <c r="L84" i="16"/>
  <c r="K84" i="16"/>
  <c r="J84" i="16"/>
  <c r="I84" i="16"/>
  <c r="H84" i="16"/>
  <c r="G84" i="16"/>
  <c r="F84" i="16"/>
  <c r="Y83" i="16"/>
  <c r="Y82" i="16"/>
  <c r="Y81" i="16"/>
  <c r="AN79" i="16"/>
  <c r="AM79" i="16"/>
  <c r="AL79" i="16"/>
  <c r="AK79" i="16"/>
  <c r="AJ79" i="16"/>
  <c r="AI79" i="16"/>
  <c r="AH79" i="16"/>
  <c r="AG79" i="16"/>
  <c r="AF79" i="16"/>
  <c r="AE79" i="16"/>
  <c r="AD79" i="16"/>
  <c r="AC79" i="16"/>
  <c r="AB79" i="16"/>
  <c r="AA79" i="16"/>
  <c r="Z79" i="16"/>
  <c r="X79" i="16"/>
  <c r="W79" i="16"/>
  <c r="V79" i="16"/>
  <c r="U79" i="16"/>
  <c r="T79" i="16"/>
  <c r="S79" i="16"/>
  <c r="R79" i="16"/>
  <c r="Q79" i="16"/>
  <c r="P79" i="16"/>
  <c r="O79" i="16"/>
  <c r="N79" i="16"/>
  <c r="M79" i="16"/>
  <c r="L79" i="16"/>
  <c r="K79" i="16"/>
  <c r="J79" i="16"/>
  <c r="I79" i="16"/>
  <c r="H79" i="16"/>
  <c r="G79" i="16"/>
  <c r="F79" i="16"/>
  <c r="Y78" i="16"/>
  <c r="Y77" i="16"/>
  <c r="Y76" i="16"/>
  <c r="Y71" i="16"/>
  <c r="Y70" i="16"/>
  <c r="Y68" i="16"/>
  <c r="Y67" i="16"/>
  <c r="Y59" i="16"/>
  <c r="AN57" i="16"/>
  <c r="AM57" i="16"/>
  <c r="AL57" i="16"/>
  <c r="AK57" i="16"/>
  <c r="AJ57" i="16"/>
  <c r="AI57" i="16"/>
  <c r="AH57" i="16"/>
  <c r="AG57" i="16"/>
  <c r="AF57" i="16"/>
  <c r="AE57" i="16"/>
  <c r="AD57" i="16"/>
  <c r="AC57" i="16"/>
  <c r="AB57" i="16"/>
  <c r="AA57" i="16"/>
  <c r="Z57" i="16"/>
  <c r="X57" i="16"/>
  <c r="W57" i="16"/>
  <c r="V57" i="16"/>
  <c r="U57" i="16"/>
  <c r="T57" i="16"/>
  <c r="S57" i="16"/>
  <c r="R57" i="16"/>
  <c r="Q57" i="16"/>
  <c r="P57" i="16"/>
  <c r="O57" i="16"/>
  <c r="N57" i="16"/>
  <c r="M57" i="16"/>
  <c r="L57" i="16"/>
  <c r="K57" i="16"/>
  <c r="J57" i="16"/>
  <c r="I57" i="16"/>
  <c r="H57" i="16"/>
  <c r="G57" i="16"/>
  <c r="F57" i="16"/>
  <c r="Y56" i="16"/>
  <c r="Y55" i="16"/>
  <c r="Y54" i="16"/>
  <c r="AN50" i="16"/>
  <c r="AM50" i="16"/>
  <c r="AL50" i="16"/>
  <c r="AK50" i="16"/>
  <c r="AJ50" i="16"/>
  <c r="AI50" i="16"/>
  <c r="AH50" i="16"/>
  <c r="AG50" i="16"/>
  <c r="AF50" i="16"/>
  <c r="AE50" i="16"/>
  <c r="AD50" i="16"/>
  <c r="AC50" i="16"/>
  <c r="AB50" i="16"/>
  <c r="AA50" i="16"/>
  <c r="Z50" i="16"/>
  <c r="X50" i="16"/>
  <c r="W50" i="16"/>
  <c r="V50" i="16"/>
  <c r="U50" i="16"/>
  <c r="T50" i="16"/>
  <c r="S50" i="16"/>
  <c r="R50" i="16"/>
  <c r="Q50" i="16"/>
  <c r="P50" i="16"/>
  <c r="O50" i="16"/>
  <c r="N50" i="16"/>
  <c r="M50" i="16"/>
  <c r="M51" i="16"/>
  <c r="L50" i="16"/>
  <c r="K50" i="16"/>
  <c r="J50" i="16"/>
  <c r="I50" i="16"/>
  <c r="H50" i="16"/>
  <c r="G50" i="16"/>
  <c r="F50" i="16"/>
  <c r="Y49" i="16"/>
  <c r="Y48" i="16"/>
  <c r="AN46" i="16"/>
  <c r="AM46" i="16"/>
  <c r="AL46" i="16"/>
  <c r="AK46" i="16"/>
  <c r="AJ46" i="16"/>
  <c r="AI46" i="16"/>
  <c r="AH46" i="16"/>
  <c r="AG46" i="16"/>
  <c r="AF46" i="16"/>
  <c r="AE46" i="16"/>
  <c r="AD46" i="16"/>
  <c r="AC46" i="16"/>
  <c r="AB46" i="16"/>
  <c r="AA46" i="16"/>
  <c r="Z46" i="16"/>
  <c r="X46" i="16"/>
  <c r="W46" i="16"/>
  <c r="V46" i="16"/>
  <c r="U46" i="16"/>
  <c r="T46" i="16"/>
  <c r="S46" i="16"/>
  <c r="R46" i="16"/>
  <c r="Q46" i="16"/>
  <c r="Q51" i="16"/>
  <c r="P46" i="16"/>
  <c r="O46" i="16"/>
  <c r="N46" i="16"/>
  <c r="M46" i="16"/>
  <c r="L46" i="16"/>
  <c r="K46" i="16"/>
  <c r="J46" i="16"/>
  <c r="I46" i="16"/>
  <c r="H46" i="16"/>
  <c r="G46" i="16"/>
  <c r="F46" i="16"/>
  <c r="Y45" i="16"/>
  <c r="Y44" i="16"/>
  <c r="AN27" i="16"/>
  <c r="AI27" i="16"/>
  <c r="AD27" i="16"/>
  <c r="AN26" i="16"/>
  <c r="AI26" i="16"/>
  <c r="AD26" i="16"/>
  <c r="Y26" i="16"/>
  <c r="AN20" i="16"/>
  <c r="AI20" i="16"/>
  <c r="AD20" i="16"/>
  <c r="AN19" i="16"/>
  <c r="AI19" i="16"/>
  <c r="AD19" i="16"/>
  <c r="AN18" i="16"/>
  <c r="AI18" i="16"/>
  <c r="AD18" i="16"/>
  <c r="F3" i="16"/>
  <c r="J2" i="16"/>
  <c r="P400" i="15"/>
  <c r="M400" i="15"/>
  <c r="H400" i="15"/>
  <c r="P399" i="15"/>
  <c r="M399" i="15"/>
  <c r="H399" i="15"/>
  <c r="P398" i="15"/>
  <c r="M398" i="15"/>
  <c r="H398" i="15"/>
  <c r="P397" i="15"/>
  <c r="M397" i="15"/>
  <c r="H397" i="15"/>
  <c r="P396" i="15"/>
  <c r="M396" i="15"/>
  <c r="H396" i="15"/>
  <c r="P395" i="15"/>
  <c r="M395" i="15"/>
  <c r="H395" i="15"/>
  <c r="P394" i="15"/>
  <c r="M394" i="15"/>
  <c r="H394" i="15"/>
  <c r="P393" i="15"/>
  <c r="M393" i="15"/>
  <c r="H393" i="15"/>
  <c r="P392" i="15"/>
  <c r="M392" i="15"/>
  <c r="H392" i="15"/>
  <c r="P391" i="15"/>
  <c r="M391" i="15"/>
  <c r="H391" i="15"/>
  <c r="P390" i="15"/>
  <c r="M390" i="15"/>
  <c r="H390" i="15"/>
  <c r="P389" i="15"/>
  <c r="M389" i="15"/>
  <c r="H389" i="15"/>
  <c r="P388" i="15"/>
  <c r="M388" i="15"/>
  <c r="H388" i="15"/>
  <c r="P387" i="15"/>
  <c r="M387" i="15"/>
  <c r="H387" i="15"/>
  <c r="P386" i="15"/>
  <c r="M386" i="15"/>
  <c r="H386" i="15"/>
  <c r="P385" i="15"/>
  <c r="M385" i="15"/>
  <c r="H385" i="15"/>
  <c r="P384" i="15"/>
  <c r="M384" i="15"/>
  <c r="H384" i="15"/>
  <c r="P383" i="15"/>
  <c r="M383" i="15"/>
  <c r="H383" i="15"/>
  <c r="P382" i="15"/>
  <c r="M382" i="15"/>
  <c r="H382" i="15"/>
  <c r="P381" i="15"/>
  <c r="M381" i="15"/>
  <c r="H381" i="15"/>
  <c r="P380" i="15"/>
  <c r="M380" i="15"/>
  <c r="H380" i="15"/>
  <c r="P379" i="15"/>
  <c r="M379" i="15"/>
  <c r="H379" i="15"/>
  <c r="P378" i="15"/>
  <c r="M378" i="15"/>
  <c r="H378" i="15"/>
  <c r="P377" i="15"/>
  <c r="M377" i="15"/>
  <c r="H377" i="15"/>
  <c r="P376" i="15"/>
  <c r="M376" i="15"/>
  <c r="H376" i="15"/>
  <c r="P375" i="15"/>
  <c r="M375" i="15"/>
  <c r="H375" i="15"/>
  <c r="P374" i="15"/>
  <c r="M374" i="15"/>
  <c r="H374" i="15"/>
  <c r="P373" i="15"/>
  <c r="M373" i="15"/>
  <c r="H373" i="15"/>
  <c r="P372" i="15"/>
  <c r="M372" i="15"/>
  <c r="H372" i="15"/>
  <c r="P371" i="15"/>
  <c r="M371" i="15"/>
  <c r="H371" i="15"/>
  <c r="P370" i="15"/>
  <c r="M370" i="15"/>
  <c r="H370" i="15"/>
  <c r="P369" i="15"/>
  <c r="M369" i="15"/>
  <c r="H369" i="15"/>
  <c r="P368" i="15"/>
  <c r="M368" i="15"/>
  <c r="H368" i="15"/>
  <c r="P367" i="15"/>
  <c r="M367" i="15"/>
  <c r="H367" i="15"/>
  <c r="P366" i="15"/>
  <c r="M366" i="15"/>
  <c r="H366" i="15"/>
  <c r="P365" i="15"/>
  <c r="M365" i="15"/>
  <c r="H365" i="15"/>
  <c r="P364" i="15"/>
  <c r="M364" i="15"/>
  <c r="H364" i="15"/>
  <c r="P363" i="15"/>
  <c r="M363" i="15"/>
  <c r="H363" i="15"/>
  <c r="P362" i="15"/>
  <c r="M362" i="15"/>
  <c r="H362" i="15"/>
  <c r="P361" i="15"/>
  <c r="M361" i="15"/>
  <c r="H361" i="15"/>
  <c r="P360" i="15"/>
  <c r="M360" i="15"/>
  <c r="H360" i="15"/>
  <c r="P359" i="15"/>
  <c r="H359" i="15"/>
  <c r="P358" i="15"/>
  <c r="M358" i="15"/>
  <c r="H358" i="15"/>
  <c r="P357" i="15"/>
  <c r="M357" i="15"/>
  <c r="H357" i="15"/>
  <c r="P356" i="15"/>
  <c r="M356" i="15"/>
  <c r="H356" i="15"/>
  <c r="P355" i="15"/>
  <c r="M355" i="15"/>
  <c r="H355" i="15"/>
  <c r="P354" i="15"/>
  <c r="M354" i="15"/>
  <c r="H354" i="15"/>
  <c r="P353" i="15"/>
  <c r="M353" i="15"/>
  <c r="H353" i="15"/>
  <c r="P352" i="15"/>
  <c r="M352" i="15"/>
  <c r="H352" i="15"/>
  <c r="P351" i="15"/>
  <c r="M351" i="15"/>
  <c r="H351" i="15"/>
  <c r="P350" i="15"/>
  <c r="M350" i="15"/>
  <c r="H350" i="15"/>
  <c r="P349" i="15"/>
  <c r="M349" i="15"/>
  <c r="H349" i="15"/>
  <c r="P348" i="15"/>
  <c r="M348" i="15"/>
  <c r="H348" i="15"/>
  <c r="P347" i="15"/>
  <c r="M347" i="15"/>
  <c r="H347" i="15"/>
  <c r="P346" i="15"/>
  <c r="M346" i="15"/>
  <c r="H346" i="15"/>
  <c r="P345" i="15"/>
  <c r="M345" i="15"/>
  <c r="H345" i="15"/>
  <c r="P344" i="15"/>
  <c r="M344" i="15"/>
  <c r="H344" i="15"/>
  <c r="P343" i="15"/>
  <c r="M343" i="15"/>
  <c r="H343" i="15"/>
  <c r="P342" i="15"/>
  <c r="M342" i="15"/>
  <c r="H342" i="15"/>
  <c r="P341" i="15"/>
  <c r="M341" i="15"/>
  <c r="H341" i="15"/>
  <c r="P340" i="15"/>
  <c r="M340" i="15"/>
  <c r="H340" i="15"/>
  <c r="P339" i="15"/>
  <c r="M339" i="15"/>
  <c r="H339" i="15"/>
  <c r="P338" i="15"/>
  <c r="M338" i="15"/>
  <c r="H338" i="15"/>
  <c r="P337" i="15"/>
  <c r="M337" i="15"/>
  <c r="H337" i="15"/>
  <c r="P336" i="15"/>
  <c r="M336" i="15"/>
  <c r="H336" i="15"/>
  <c r="P335" i="15"/>
  <c r="M335" i="15"/>
  <c r="H335" i="15"/>
  <c r="P334" i="15"/>
  <c r="M334" i="15"/>
  <c r="H334" i="15"/>
  <c r="P333" i="15"/>
  <c r="M333" i="15"/>
  <c r="H333" i="15"/>
  <c r="P332" i="15"/>
  <c r="M332" i="15"/>
  <c r="H332" i="15"/>
  <c r="P331" i="15"/>
  <c r="M331" i="15"/>
  <c r="H331" i="15"/>
  <c r="P330" i="15"/>
  <c r="M330" i="15"/>
  <c r="H330" i="15"/>
  <c r="P329" i="15"/>
  <c r="M329" i="15"/>
  <c r="H329" i="15"/>
  <c r="P328" i="15"/>
  <c r="M328" i="15"/>
  <c r="H328" i="15"/>
  <c r="P327" i="15"/>
  <c r="M327" i="15"/>
  <c r="H327" i="15"/>
  <c r="P326" i="15"/>
  <c r="M326" i="15"/>
  <c r="H326" i="15"/>
  <c r="P325" i="15"/>
  <c r="M325" i="15"/>
  <c r="H325" i="15"/>
  <c r="P324" i="15"/>
  <c r="M324" i="15"/>
  <c r="H324" i="15"/>
  <c r="P323" i="15"/>
  <c r="M323" i="15"/>
  <c r="H323" i="15"/>
  <c r="P322" i="15"/>
  <c r="M322" i="15"/>
  <c r="H322" i="15"/>
  <c r="P321" i="15"/>
  <c r="M321" i="15"/>
  <c r="H321" i="15"/>
  <c r="P320" i="15"/>
  <c r="M320" i="15"/>
  <c r="H320" i="15"/>
  <c r="P319" i="15"/>
  <c r="M319" i="15"/>
  <c r="H319" i="15"/>
  <c r="P318" i="15"/>
  <c r="M318" i="15"/>
  <c r="H318" i="15"/>
  <c r="P317" i="15"/>
  <c r="M317" i="15"/>
  <c r="H317" i="15"/>
  <c r="P316" i="15"/>
  <c r="M316" i="15"/>
  <c r="H316" i="15"/>
  <c r="P315" i="15"/>
  <c r="M315" i="15"/>
  <c r="H315" i="15"/>
  <c r="P314" i="15"/>
  <c r="M314" i="15"/>
  <c r="H314" i="15"/>
  <c r="P313" i="15"/>
  <c r="M313" i="15"/>
  <c r="H313" i="15"/>
  <c r="P312" i="15"/>
  <c r="M312" i="15"/>
  <c r="H312" i="15"/>
  <c r="P311" i="15"/>
  <c r="M311" i="15"/>
  <c r="H311" i="15"/>
  <c r="P310" i="15"/>
  <c r="M310" i="15"/>
  <c r="H310" i="15"/>
  <c r="P309" i="15"/>
  <c r="M309" i="15"/>
  <c r="H309" i="15"/>
  <c r="P308" i="15"/>
  <c r="M308" i="15"/>
  <c r="H308" i="15"/>
  <c r="P307" i="15"/>
  <c r="M307" i="15"/>
  <c r="H307" i="15"/>
  <c r="P306" i="15"/>
  <c r="M306" i="15"/>
  <c r="H306" i="15"/>
  <c r="P305" i="15"/>
  <c r="M305" i="15"/>
  <c r="H305" i="15"/>
  <c r="P304" i="15"/>
  <c r="M304" i="15"/>
  <c r="H304" i="15"/>
  <c r="P303" i="15"/>
  <c r="M303" i="15"/>
  <c r="H303" i="15"/>
  <c r="P302" i="15"/>
  <c r="M302" i="15"/>
  <c r="H302" i="15"/>
  <c r="P301" i="15"/>
  <c r="M301" i="15"/>
  <c r="H301" i="15"/>
  <c r="P300" i="15"/>
  <c r="M300" i="15"/>
  <c r="H300" i="15"/>
  <c r="P299" i="15"/>
  <c r="M299" i="15"/>
  <c r="H299" i="15"/>
  <c r="P298" i="15"/>
  <c r="M298" i="15"/>
  <c r="H298" i="15"/>
  <c r="P297" i="15"/>
  <c r="M297" i="15"/>
  <c r="H297" i="15"/>
  <c r="P296" i="15"/>
  <c r="M296" i="15"/>
  <c r="H296" i="15"/>
  <c r="P295" i="15"/>
  <c r="M295" i="15"/>
  <c r="H295" i="15"/>
  <c r="P294" i="15"/>
  <c r="M294" i="15"/>
  <c r="H294" i="15"/>
  <c r="P293" i="15"/>
  <c r="M293" i="15"/>
  <c r="H293" i="15"/>
  <c r="P292" i="15"/>
  <c r="M292" i="15"/>
  <c r="H292" i="15"/>
  <c r="P291" i="15"/>
  <c r="M291" i="15"/>
  <c r="H291" i="15"/>
  <c r="P290" i="15"/>
  <c r="M290" i="15"/>
  <c r="H290" i="15"/>
  <c r="P289" i="15"/>
  <c r="M289" i="15"/>
  <c r="H289" i="15"/>
  <c r="P288" i="15"/>
  <c r="M288" i="15"/>
  <c r="H288" i="15"/>
  <c r="P287" i="15"/>
  <c r="H287" i="15"/>
  <c r="P286" i="15"/>
  <c r="M286" i="15"/>
  <c r="H286" i="15"/>
  <c r="P285" i="15"/>
  <c r="M285" i="15"/>
  <c r="H285" i="15"/>
  <c r="P284" i="15"/>
  <c r="M284" i="15"/>
  <c r="H284" i="15"/>
  <c r="P283" i="15"/>
  <c r="M283" i="15"/>
  <c r="H283" i="15"/>
  <c r="P282" i="15"/>
  <c r="M282" i="15"/>
  <c r="H282" i="15"/>
  <c r="P281" i="15"/>
  <c r="M281" i="15"/>
  <c r="H281" i="15"/>
  <c r="P280" i="15"/>
  <c r="M280" i="15"/>
  <c r="H280" i="15"/>
  <c r="P279" i="15"/>
  <c r="M279" i="15"/>
  <c r="H279" i="15"/>
  <c r="P278" i="15"/>
  <c r="M278" i="15"/>
  <c r="H278" i="15"/>
  <c r="P277" i="15"/>
  <c r="M277" i="15"/>
  <c r="H277" i="15"/>
  <c r="P276" i="15"/>
  <c r="M276" i="15"/>
  <c r="H276" i="15"/>
  <c r="P275" i="15"/>
  <c r="M275" i="15"/>
  <c r="H275" i="15"/>
  <c r="P274" i="15"/>
  <c r="M274" i="15"/>
  <c r="H274" i="15"/>
  <c r="P273" i="15"/>
  <c r="M273" i="15"/>
  <c r="H273" i="15"/>
  <c r="P272" i="15"/>
  <c r="M272" i="15"/>
  <c r="H272" i="15"/>
  <c r="P271" i="15"/>
  <c r="M271" i="15"/>
  <c r="H271" i="15"/>
  <c r="P270" i="15"/>
  <c r="M270" i="15"/>
  <c r="H270" i="15"/>
  <c r="P269" i="15"/>
  <c r="M269" i="15"/>
  <c r="H269" i="15"/>
  <c r="P268" i="15"/>
  <c r="M268" i="15"/>
  <c r="H268" i="15"/>
  <c r="P267" i="15"/>
  <c r="M267" i="15"/>
  <c r="H267" i="15"/>
  <c r="P266" i="15"/>
  <c r="M266" i="15"/>
  <c r="H266" i="15"/>
  <c r="P265" i="15"/>
  <c r="M265" i="15"/>
  <c r="H265" i="15"/>
  <c r="P264" i="15"/>
  <c r="M264" i="15"/>
  <c r="H264" i="15"/>
  <c r="P263" i="15"/>
  <c r="M263" i="15"/>
  <c r="H263" i="15"/>
  <c r="P262" i="15"/>
  <c r="M262" i="15"/>
  <c r="H262" i="15"/>
  <c r="P261" i="15"/>
  <c r="M261" i="15"/>
  <c r="H261" i="15"/>
  <c r="P260" i="15"/>
  <c r="M260" i="15"/>
  <c r="H260" i="15"/>
  <c r="P259" i="15"/>
  <c r="M259" i="15"/>
  <c r="H259" i="15"/>
  <c r="P258" i="15"/>
  <c r="M258" i="15"/>
  <c r="H258" i="15"/>
  <c r="P257" i="15"/>
  <c r="M257" i="15"/>
  <c r="H257" i="15"/>
  <c r="P256" i="15"/>
  <c r="M256" i="15"/>
  <c r="H256" i="15"/>
  <c r="P255" i="15"/>
  <c r="M255" i="15"/>
  <c r="H255" i="15"/>
  <c r="P254" i="15"/>
  <c r="M254" i="15"/>
  <c r="H254" i="15"/>
  <c r="P253" i="15"/>
  <c r="M253" i="15"/>
  <c r="H253" i="15"/>
  <c r="P252" i="15"/>
  <c r="M252" i="15"/>
  <c r="H252" i="15"/>
  <c r="P251" i="15"/>
  <c r="M251" i="15"/>
  <c r="H251" i="15"/>
  <c r="P250" i="15"/>
  <c r="M250" i="15"/>
  <c r="H250" i="15"/>
  <c r="P249" i="15"/>
  <c r="M249" i="15"/>
  <c r="H249" i="15"/>
  <c r="P248" i="15"/>
  <c r="M248" i="15"/>
  <c r="H248" i="15"/>
  <c r="P247" i="15"/>
  <c r="M247" i="15"/>
  <c r="H247" i="15"/>
  <c r="P246" i="15"/>
  <c r="M246" i="15"/>
  <c r="H246" i="15"/>
  <c r="P245" i="15"/>
  <c r="M245" i="15"/>
  <c r="H245" i="15"/>
  <c r="P244" i="15"/>
  <c r="M244" i="15"/>
  <c r="H244" i="15"/>
  <c r="P243" i="15"/>
  <c r="M243" i="15"/>
  <c r="H243" i="15"/>
  <c r="P242" i="15"/>
  <c r="M242" i="15"/>
  <c r="H242" i="15"/>
  <c r="P241" i="15"/>
  <c r="M241" i="15"/>
  <c r="H241" i="15"/>
  <c r="P240" i="15"/>
  <c r="M240" i="15"/>
  <c r="H240" i="15"/>
  <c r="P239" i="15"/>
  <c r="M239" i="15"/>
  <c r="H239" i="15"/>
  <c r="P238" i="15"/>
  <c r="M238" i="15"/>
  <c r="H238" i="15"/>
  <c r="P237" i="15"/>
  <c r="M237" i="15"/>
  <c r="H237" i="15"/>
  <c r="P236" i="15"/>
  <c r="M236" i="15"/>
  <c r="H236" i="15"/>
  <c r="P235" i="15"/>
  <c r="M235" i="15"/>
  <c r="H235" i="15"/>
  <c r="P234" i="15"/>
  <c r="M234" i="15"/>
  <c r="H234" i="15"/>
  <c r="P233" i="15"/>
  <c r="M233" i="15"/>
  <c r="H233" i="15"/>
  <c r="P232" i="15"/>
  <c r="M232" i="15"/>
  <c r="H232" i="15"/>
  <c r="P231" i="15"/>
  <c r="M231" i="15"/>
  <c r="H231" i="15"/>
  <c r="P230" i="15"/>
  <c r="M230" i="15"/>
  <c r="H230" i="15"/>
  <c r="P229" i="15"/>
  <c r="M229" i="15"/>
  <c r="H229" i="15"/>
  <c r="P228" i="15"/>
  <c r="M228" i="15"/>
  <c r="H228" i="15"/>
  <c r="P227" i="15"/>
  <c r="M227" i="15"/>
  <c r="H227" i="15"/>
  <c r="P226" i="15"/>
  <c r="M226" i="15"/>
  <c r="H226" i="15"/>
  <c r="P225" i="15"/>
  <c r="M225" i="15"/>
  <c r="H225" i="15"/>
  <c r="P224" i="15"/>
  <c r="M224" i="15"/>
  <c r="H224" i="15"/>
  <c r="P223" i="15"/>
  <c r="M223" i="15"/>
  <c r="H223" i="15"/>
  <c r="P222" i="15"/>
  <c r="M222" i="15"/>
  <c r="H222" i="15"/>
  <c r="P221" i="15"/>
  <c r="M221" i="15"/>
  <c r="H221" i="15"/>
  <c r="P220" i="15"/>
  <c r="M220" i="15"/>
  <c r="H220" i="15"/>
  <c r="P219" i="15"/>
  <c r="M219" i="15"/>
  <c r="H219" i="15"/>
  <c r="P218" i="15"/>
  <c r="M218" i="15"/>
  <c r="H218" i="15"/>
  <c r="P217" i="15"/>
  <c r="M217" i="15"/>
  <c r="H217" i="15"/>
  <c r="P216" i="15"/>
  <c r="M216" i="15"/>
  <c r="H216" i="15"/>
  <c r="P215" i="15"/>
  <c r="M215" i="15"/>
  <c r="H215" i="15"/>
  <c r="P214" i="15"/>
  <c r="H214" i="15"/>
  <c r="P213" i="15"/>
  <c r="M213" i="15"/>
  <c r="H213" i="15"/>
  <c r="P212" i="15"/>
  <c r="M212" i="15"/>
  <c r="H212" i="15"/>
  <c r="P211" i="15"/>
  <c r="M211" i="15"/>
  <c r="H211" i="15"/>
  <c r="P210" i="15"/>
  <c r="M210" i="15"/>
  <c r="H210" i="15"/>
  <c r="P209" i="15"/>
  <c r="M209" i="15"/>
  <c r="H209" i="15"/>
  <c r="P208" i="15"/>
  <c r="M208" i="15"/>
  <c r="H208" i="15"/>
  <c r="P207" i="15"/>
  <c r="M207" i="15"/>
  <c r="H207" i="15"/>
  <c r="P206" i="15"/>
  <c r="M206" i="15"/>
  <c r="H206" i="15"/>
  <c r="P205" i="15"/>
  <c r="M205" i="15"/>
  <c r="H205" i="15"/>
  <c r="P204" i="15"/>
  <c r="M204" i="15"/>
  <c r="H204" i="15"/>
  <c r="P203" i="15"/>
  <c r="M203" i="15"/>
  <c r="H203" i="15"/>
  <c r="P202" i="15"/>
  <c r="M202" i="15"/>
  <c r="H202" i="15"/>
  <c r="P201" i="15"/>
  <c r="M201" i="15"/>
  <c r="H201" i="15"/>
  <c r="P200" i="15"/>
  <c r="M200" i="15"/>
  <c r="H200" i="15"/>
  <c r="P199" i="15"/>
  <c r="M199" i="15"/>
  <c r="H199" i="15"/>
  <c r="P198" i="15"/>
  <c r="M198" i="15"/>
  <c r="H198" i="15"/>
  <c r="P197" i="15"/>
  <c r="M197" i="15"/>
  <c r="H197" i="15"/>
  <c r="P196" i="15"/>
  <c r="M196" i="15"/>
  <c r="H196" i="15"/>
  <c r="P195" i="15"/>
  <c r="M195" i="15"/>
  <c r="H195" i="15"/>
  <c r="P194" i="15"/>
  <c r="M194" i="15"/>
  <c r="H194" i="15"/>
  <c r="P193" i="15"/>
  <c r="M193" i="15"/>
  <c r="H193" i="15"/>
  <c r="P192" i="15"/>
  <c r="M192" i="15"/>
  <c r="H192" i="15"/>
  <c r="P191" i="15"/>
  <c r="M191" i="15"/>
  <c r="H191" i="15"/>
  <c r="P190" i="15"/>
  <c r="M190" i="15"/>
  <c r="H190" i="15"/>
  <c r="P189" i="15"/>
  <c r="M189" i="15"/>
  <c r="H189" i="15"/>
  <c r="P188" i="15"/>
  <c r="M188" i="15"/>
  <c r="H188" i="15"/>
  <c r="P187" i="15"/>
  <c r="M187" i="15"/>
  <c r="H187" i="15"/>
  <c r="P186" i="15"/>
  <c r="M186" i="15"/>
  <c r="H186" i="15"/>
  <c r="P185" i="15"/>
  <c r="M185" i="15"/>
  <c r="H185" i="15"/>
  <c r="P184" i="15"/>
  <c r="M184" i="15"/>
  <c r="H184" i="15"/>
  <c r="P183" i="15"/>
  <c r="M183" i="15"/>
  <c r="H183" i="15"/>
  <c r="P182" i="15"/>
  <c r="M182" i="15"/>
  <c r="H182" i="15"/>
  <c r="P181" i="15"/>
  <c r="M181" i="15"/>
  <c r="H181" i="15"/>
  <c r="P180" i="15"/>
  <c r="M180" i="15"/>
  <c r="H180" i="15"/>
  <c r="P179" i="15"/>
  <c r="M179" i="15"/>
  <c r="H179" i="15"/>
  <c r="P178" i="15"/>
  <c r="M178" i="15"/>
  <c r="H178" i="15"/>
  <c r="P177" i="15"/>
  <c r="M177" i="15"/>
  <c r="H177" i="15"/>
  <c r="P176" i="15"/>
  <c r="M176" i="15"/>
  <c r="H176" i="15"/>
  <c r="P175" i="15"/>
  <c r="M175" i="15"/>
  <c r="H175" i="15"/>
  <c r="P174" i="15"/>
  <c r="M174" i="15"/>
  <c r="H174" i="15"/>
  <c r="P173" i="15"/>
  <c r="M173" i="15"/>
  <c r="H173" i="15"/>
  <c r="P172" i="15"/>
  <c r="M172" i="15"/>
  <c r="H172" i="15"/>
  <c r="P171" i="15"/>
  <c r="M171" i="15"/>
  <c r="H171" i="15"/>
  <c r="P170" i="15"/>
  <c r="M170" i="15"/>
  <c r="H170" i="15"/>
  <c r="P169" i="15"/>
  <c r="M169" i="15"/>
  <c r="H169" i="15"/>
  <c r="P168" i="15"/>
  <c r="M168" i="15"/>
  <c r="H168" i="15"/>
  <c r="P167" i="15"/>
  <c r="M167" i="15"/>
  <c r="H167" i="15"/>
  <c r="P166" i="15"/>
  <c r="M166" i="15"/>
  <c r="H166" i="15"/>
  <c r="P165" i="15"/>
  <c r="M165" i="15"/>
  <c r="H165" i="15"/>
  <c r="P164" i="15"/>
  <c r="M164" i="15"/>
  <c r="H164" i="15"/>
  <c r="P163" i="15"/>
  <c r="M163" i="15"/>
  <c r="H163" i="15"/>
  <c r="P162" i="15"/>
  <c r="M162" i="15"/>
  <c r="H162" i="15"/>
  <c r="P161" i="15"/>
  <c r="M161" i="15"/>
  <c r="H161" i="15"/>
  <c r="P160" i="15"/>
  <c r="M160" i="15"/>
  <c r="H160" i="15"/>
  <c r="P159" i="15"/>
  <c r="M159" i="15"/>
  <c r="H159" i="15"/>
  <c r="P158" i="15"/>
  <c r="M158" i="15"/>
  <c r="H158" i="15"/>
  <c r="P157" i="15"/>
  <c r="M157" i="15"/>
  <c r="H157" i="15"/>
  <c r="P156" i="15"/>
  <c r="M156" i="15"/>
  <c r="H156" i="15"/>
  <c r="P155" i="15"/>
  <c r="M155" i="15"/>
  <c r="H155" i="15"/>
  <c r="P154" i="15"/>
  <c r="M154" i="15"/>
  <c r="H154" i="15"/>
  <c r="P153" i="15"/>
  <c r="M153" i="15"/>
  <c r="H153" i="15"/>
  <c r="P152" i="15"/>
  <c r="M152" i="15"/>
  <c r="H152" i="15"/>
  <c r="P151" i="15"/>
  <c r="M151" i="15"/>
  <c r="H151" i="15"/>
  <c r="P150" i="15"/>
  <c r="M150" i="15"/>
  <c r="H150" i="15"/>
  <c r="P149" i="15"/>
  <c r="M149" i="15"/>
  <c r="H149" i="15"/>
  <c r="P148" i="15"/>
  <c r="M148" i="15"/>
  <c r="H148" i="15"/>
  <c r="P147" i="15"/>
  <c r="M147" i="15"/>
  <c r="H147" i="15"/>
  <c r="P146" i="15"/>
  <c r="M146" i="15"/>
  <c r="H146" i="15"/>
  <c r="P145" i="15"/>
  <c r="M145" i="15"/>
  <c r="H145" i="15"/>
  <c r="P144" i="15"/>
  <c r="M144" i="15"/>
  <c r="H144" i="15"/>
  <c r="P143" i="15"/>
  <c r="M143" i="15"/>
  <c r="H143" i="15"/>
  <c r="P142" i="15"/>
  <c r="M142" i="15"/>
  <c r="H142" i="15"/>
  <c r="P141" i="15"/>
  <c r="M141" i="15"/>
  <c r="H141" i="15"/>
  <c r="P140" i="15"/>
  <c r="M140" i="15"/>
  <c r="H140" i="15"/>
  <c r="P139" i="15"/>
  <c r="M139" i="15"/>
  <c r="H139" i="15"/>
  <c r="P138" i="15"/>
  <c r="M138" i="15"/>
  <c r="H138" i="15"/>
  <c r="P137" i="15"/>
  <c r="M137" i="15"/>
  <c r="H137" i="15"/>
  <c r="P136" i="15"/>
  <c r="M136" i="15"/>
  <c r="H136" i="15"/>
  <c r="P135" i="15"/>
  <c r="M135" i="15"/>
  <c r="H135" i="15"/>
  <c r="P134" i="15"/>
  <c r="M134" i="15"/>
  <c r="H134" i="15"/>
  <c r="P133" i="15"/>
  <c r="M133" i="15"/>
  <c r="H133" i="15"/>
  <c r="P132" i="15"/>
  <c r="M132" i="15"/>
  <c r="H132" i="15"/>
  <c r="P131" i="15"/>
  <c r="M131" i="15"/>
  <c r="H131" i="15"/>
  <c r="P130" i="15"/>
  <c r="M130" i="15"/>
  <c r="H130" i="15"/>
  <c r="P129" i="15"/>
  <c r="M129" i="15"/>
  <c r="H129" i="15"/>
  <c r="P128" i="15"/>
  <c r="M128" i="15"/>
  <c r="H128" i="15"/>
  <c r="P127" i="15"/>
  <c r="M127" i="15"/>
  <c r="H127" i="15"/>
  <c r="P126" i="15"/>
  <c r="M126" i="15"/>
  <c r="H126" i="15"/>
  <c r="P125" i="15"/>
  <c r="M125" i="15"/>
  <c r="H125" i="15"/>
  <c r="P124" i="15"/>
  <c r="M124" i="15"/>
  <c r="H124" i="15"/>
  <c r="P123" i="15"/>
  <c r="M123" i="15"/>
  <c r="H123" i="15"/>
  <c r="P122" i="15"/>
  <c r="M122" i="15"/>
  <c r="H122" i="15"/>
  <c r="P121" i="15"/>
  <c r="M121" i="15"/>
  <c r="H121" i="15"/>
  <c r="P120" i="15"/>
  <c r="M120" i="15"/>
  <c r="H120" i="15"/>
  <c r="P119" i="15"/>
  <c r="M119" i="15"/>
  <c r="H119" i="15"/>
  <c r="P118" i="15"/>
  <c r="M118" i="15"/>
  <c r="H118" i="15"/>
  <c r="P117" i="15"/>
  <c r="M117" i="15"/>
  <c r="H117" i="15"/>
  <c r="P116" i="15"/>
  <c r="M116" i="15"/>
  <c r="H116" i="15"/>
  <c r="P115" i="15"/>
  <c r="M115" i="15"/>
  <c r="H115" i="15"/>
  <c r="P114" i="15"/>
  <c r="M114" i="15"/>
  <c r="H114" i="15"/>
  <c r="P113" i="15"/>
  <c r="M113" i="15"/>
  <c r="H113" i="15"/>
  <c r="C432" i="15"/>
  <c r="I432" i="15"/>
  <c r="D411" i="15"/>
  <c r="G411" i="15"/>
  <c r="C411" i="15"/>
  <c r="F411" i="15"/>
  <c r="E411" i="15"/>
  <c r="G410" i="15"/>
  <c r="D410" i="15"/>
  <c r="F410" i="15"/>
  <c r="C410" i="15"/>
  <c r="C421" i="15"/>
  <c r="E410" i="15"/>
  <c r="U85" i="16"/>
  <c r="H51" i="16"/>
  <c r="T85" i="16"/>
  <c r="AL51" i="16"/>
  <c r="AD85" i="16"/>
  <c r="AJ85" i="16"/>
  <c r="E26" i="17"/>
  <c r="F22" i="17"/>
  <c r="F25" i="17"/>
  <c r="Z51" i="16"/>
  <c r="AH85" i="16"/>
  <c r="F51" i="16"/>
  <c r="AE51" i="16"/>
  <c r="G51" i="16"/>
  <c r="G58" i="16"/>
  <c r="G60" i="16"/>
  <c r="G90" i="16"/>
  <c r="G96" i="16"/>
  <c r="G104" i="16"/>
  <c r="AF51" i="16"/>
  <c r="AF58" i="16"/>
  <c r="AF60" i="16"/>
  <c r="AF90" i="16"/>
  <c r="AF96" i="16"/>
  <c r="AF104" i="16"/>
  <c r="AA85" i="16"/>
  <c r="AB85" i="16"/>
  <c r="H85" i="16"/>
  <c r="AN85" i="16"/>
  <c r="V85" i="16"/>
  <c r="G85" i="16"/>
  <c r="AC85" i="16"/>
  <c r="AN51" i="16"/>
  <c r="AK51" i="16"/>
  <c r="AK58" i="16"/>
  <c r="AK60" i="16"/>
  <c r="AK90" i="16"/>
  <c r="AK96" i="16"/>
  <c r="AK104" i="16"/>
  <c r="T51" i="16"/>
  <c r="V123" i="16"/>
  <c r="AK123" i="16"/>
  <c r="M123" i="16"/>
  <c r="AL123" i="16"/>
  <c r="F4" i="16"/>
  <c r="AN123" i="16"/>
  <c r="K123" i="16"/>
  <c r="I51" i="16"/>
  <c r="AA123" i="16"/>
  <c r="J51" i="16"/>
  <c r="AI51" i="16"/>
  <c r="AI58" i="16"/>
  <c r="AI60" i="16"/>
  <c r="AI90" i="16"/>
  <c r="AI96" i="16"/>
  <c r="AI104" i="16"/>
  <c r="R123" i="16"/>
  <c r="AG123" i="16"/>
  <c r="K51" i="16"/>
  <c r="K58" i="16"/>
  <c r="K60" i="16"/>
  <c r="K90" i="16"/>
  <c r="K96" i="16"/>
  <c r="K104" i="16"/>
  <c r="S123" i="16"/>
  <c r="AH123" i="16"/>
  <c r="U123" i="16"/>
  <c r="R51" i="16"/>
  <c r="AM51" i="16"/>
  <c r="G123" i="16"/>
  <c r="AA51" i="16"/>
  <c r="X85" i="16"/>
  <c r="H123" i="16"/>
  <c r="W51" i="16"/>
  <c r="AB51" i="16"/>
  <c r="AB58" i="16"/>
  <c r="AB60" i="16"/>
  <c r="AB90" i="16"/>
  <c r="AB96" i="16"/>
  <c r="AB104" i="16"/>
  <c r="F2" i="17"/>
  <c r="F3" i="17"/>
  <c r="F31" i="17"/>
  <c r="E5" i="17"/>
  <c r="E6" i="17"/>
  <c r="AC51" i="16"/>
  <c r="J85" i="16"/>
  <c r="AE85" i="16"/>
  <c r="AD51" i="16"/>
  <c r="K85" i="16"/>
  <c r="AF85" i="16"/>
  <c r="AC123" i="16"/>
  <c r="N123" i="16"/>
  <c r="L85" i="16"/>
  <c r="AG85" i="16"/>
  <c r="W123" i="16"/>
  <c r="O51" i="16"/>
  <c r="M85" i="16"/>
  <c r="L51" i="16"/>
  <c r="AG51" i="16"/>
  <c r="Q85" i="16"/>
  <c r="AF123" i="16"/>
  <c r="AH51" i="16"/>
  <c r="AH58" i="16"/>
  <c r="AH60" i="16"/>
  <c r="AH90" i="16"/>
  <c r="AH96" i="16"/>
  <c r="AH104" i="16"/>
  <c r="R85" i="16"/>
  <c r="N51" i="16"/>
  <c r="AD123" i="16"/>
  <c r="P123" i="16"/>
  <c r="AJ123" i="16"/>
  <c r="Y57" i="16"/>
  <c r="AE123" i="16"/>
  <c r="Y50" i="16"/>
  <c r="Y51" i="16"/>
  <c r="Y58" i="16"/>
  <c r="Y60" i="16"/>
  <c r="Y90" i="16"/>
  <c r="Y96" i="16"/>
  <c r="Y104" i="16"/>
  <c r="X51" i="16"/>
  <c r="Y84" i="16"/>
  <c r="Z85" i="16"/>
  <c r="AI123" i="16"/>
  <c r="Y46" i="16"/>
  <c r="S51" i="16"/>
  <c r="Y79" i="16"/>
  <c r="W85" i="16"/>
  <c r="L123" i="16"/>
  <c r="D90" i="1" a="1"/>
  <c r="D90" i="1"/>
  <c r="C59" i="1"/>
  <c r="C60" i="1"/>
  <c r="C61" i="1"/>
  <c r="C62" i="1"/>
  <c r="C63" i="1"/>
  <c r="C64" i="1"/>
  <c r="C65" i="1"/>
  <c r="C66" i="1"/>
  <c r="C67" i="1"/>
  <c r="C68" i="1"/>
  <c r="C76" i="1"/>
  <c r="I123" i="16"/>
  <c r="J108" i="16"/>
  <c r="J123" i="16"/>
  <c r="AG58" i="16"/>
  <c r="AG60" i="16"/>
  <c r="AG90" i="16"/>
  <c r="AG96" i="16"/>
  <c r="AG104" i="16"/>
  <c r="F58" i="16"/>
  <c r="F60" i="16"/>
  <c r="F90" i="16"/>
  <c r="F96" i="16"/>
  <c r="F104" i="16"/>
  <c r="F105" i="16"/>
  <c r="Q58" i="16"/>
  <c r="Q60" i="16"/>
  <c r="Q90" i="16"/>
  <c r="Q96" i="16"/>
  <c r="Q104" i="16"/>
  <c r="AL58" i="16"/>
  <c r="AL60" i="16"/>
  <c r="AL90" i="16"/>
  <c r="AL96" i="16"/>
  <c r="AL104" i="16"/>
  <c r="G3" i="16"/>
  <c r="R58" i="16"/>
  <c r="R60" i="16"/>
  <c r="R90" i="16"/>
  <c r="R96" i="16"/>
  <c r="R104" i="16"/>
  <c r="Z58" i="16"/>
  <c r="Z60" i="16"/>
  <c r="Z90" i="16"/>
  <c r="Z96" i="16"/>
  <c r="Z104" i="16"/>
  <c r="N85" i="16"/>
  <c r="AI85" i="16"/>
  <c r="T108" i="16"/>
  <c r="T123" i="16"/>
  <c r="O85" i="16"/>
  <c r="P85" i="16"/>
  <c r="AK85" i="16"/>
  <c r="M58" i="16"/>
  <c r="M60" i="16"/>
  <c r="M90" i="16"/>
  <c r="M96" i="16"/>
  <c r="M104" i="16"/>
  <c r="Y108" i="16"/>
  <c r="Y123" i="16"/>
  <c r="X123" i="16"/>
  <c r="Z123" i="16"/>
  <c r="U51" i="16"/>
  <c r="AL85" i="16"/>
  <c r="V51" i="16"/>
  <c r="O123" i="16"/>
  <c r="Q123" i="16"/>
  <c r="AM123" i="16"/>
  <c r="F85" i="16"/>
  <c r="F6" i="16"/>
  <c r="F5" i="16"/>
  <c r="I85" i="16"/>
  <c r="S85" i="16"/>
  <c r="F123" i="16"/>
  <c r="AB123" i="16"/>
  <c r="P51" i="16"/>
  <c r="AJ51" i="16"/>
  <c r="AE58" i="16"/>
  <c r="AE60" i="16"/>
  <c r="AE90" i="16"/>
  <c r="AE96" i="16"/>
  <c r="AE104" i="16"/>
  <c r="AM85" i="16"/>
  <c r="E4" i="17"/>
  <c r="F421" i="15"/>
  <c r="F432" i="15"/>
  <c r="F422" i="15"/>
  <c r="F431" i="15"/>
  <c r="D421" i="15"/>
  <c r="J432" i="15"/>
  <c r="D432" i="15"/>
  <c r="C422" i="15"/>
  <c r="C431" i="15"/>
  <c r="I431" i="15"/>
  <c r="E421" i="15"/>
  <c r="K432" i="15"/>
  <c r="E432" i="15"/>
  <c r="G421" i="15"/>
  <c r="G432" i="15"/>
  <c r="G422" i="15"/>
  <c r="G431" i="15"/>
  <c r="E422" i="15"/>
  <c r="E431" i="15"/>
  <c r="D422" i="15"/>
  <c r="D431" i="15"/>
  <c r="F12" i="16"/>
  <c r="H58" i="16"/>
  <c r="H60" i="16"/>
  <c r="H90" i="16"/>
  <c r="H96" i="16"/>
  <c r="H104" i="16"/>
  <c r="I58" i="16"/>
  <c r="I60" i="16"/>
  <c r="I90" i="16"/>
  <c r="I96" i="16"/>
  <c r="I104" i="16"/>
  <c r="S58" i="16"/>
  <c r="S60" i="16"/>
  <c r="S90" i="16"/>
  <c r="S96" i="16"/>
  <c r="S104" i="16"/>
  <c r="AN58" i="16"/>
  <c r="AN60" i="16"/>
  <c r="AN90" i="16"/>
  <c r="AN96" i="16"/>
  <c r="AN104" i="16"/>
  <c r="Y85" i="16"/>
  <c r="F6" i="17"/>
  <c r="G2" i="17"/>
  <c r="G3" i="17"/>
  <c r="G31" i="17"/>
  <c r="F4" i="17"/>
  <c r="F5" i="17"/>
  <c r="F26" i="17"/>
  <c r="G22" i="17"/>
  <c r="G25" i="17"/>
  <c r="AA58" i="16"/>
  <c r="AA60" i="16"/>
  <c r="AA90" i="16"/>
  <c r="AA96" i="16"/>
  <c r="AA104" i="16"/>
  <c r="AM58" i="16"/>
  <c r="AM60" i="16"/>
  <c r="AM90" i="16"/>
  <c r="AM96" i="16"/>
  <c r="AM104" i="16"/>
  <c r="T58" i="16"/>
  <c r="T60" i="16"/>
  <c r="T90" i="16"/>
  <c r="T96" i="16"/>
  <c r="T104" i="16"/>
  <c r="X58" i="16"/>
  <c r="X60" i="16"/>
  <c r="X90" i="16"/>
  <c r="X96" i="16"/>
  <c r="X104" i="16"/>
  <c r="J58" i="16"/>
  <c r="J60" i="16"/>
  <c r="J90" i="16"/>
  <c r="J96" i="16"/>
  <c r="J104" i="16"/>
  <c r="J105" i="16"/>
  <c r="J66" i="16"/>
  <c r="J69" i="16"/>
  <c r="J72" i="16"/>
  <c r="J86" i="16"/>
  <c r="W58" i="16"/>
  <c r="W60" i="16"/>
  <c r="W90" i="16"/>
  <c r="W96" i="16"/>
  <c r="W104" i="16"/>
  <c r="AD58" i="16"/>
  <c r="AD60" i="16"/>
  <c r="AD90" i="16"/>
  <c r="AD96" i="16"/>
  <c r="AD104" i="16"/>
  <c r="N58" i="16"/>
  <c r="N60" i="16"/>
  <c r="N90" i="16"/>
  <c r="N96" i="16"/>
  <c r="N104" i="16"/>
  <c r="AC58" i="16"/>
  <c r="AC60" i="16"/>
  <c r="AC90" i="16"/>
  <c r="AC96" i="16"/>
  <c r="AC104" i="16"/>
  <c r="O58" i="16"/>
  <c r="O60" i="16"/>
  <c r="O90" i="16"/>
  <c r="O96" i="16"/>
  <c r="O104" i="16"/>
  <c r="L58" i="16"/>
  <c r="L60" i="16"/>
  <c r="L90" i="16"/>
  <c r="L96" i="16"/>
  <c r="L104" i="16"/>
  <c r="D56" i="1" a="1"/>
  <c r="K92" i="1"/>
  <c r="C77" i="1"/>
  <c r="G4" i="16"/>
  <c r="G6" i="16"/>
  <c r="G5" i="16"/>
  <c r="H2" i="16"/>
  <c r="AJ58" i="16"/>
  <c r="AJ60" i="16"/>
  <c r="AJ90" i="16"/>
  <c r="AJ96" i="16"/>
  <c r="AJ104" i="16"/>
  <c r="U58" i="16"/>
  <c r="U60" i="16"/>
  <c r="U90" i="16"/>
  <c r="U96" i="16"/>
  <c r="U104" i="16"/>
  <c r="P58" i="16"/>
  <c r="P60" i="16"/>
  <c r="P90" i="16"/>
  <c r="P96" i="16"/>
  <c r="P104" i="16"/>
  <c r="V58" i="16"/>
  <c r="V60" i="16"/>
  <c r="V90" i="16"/>
  <c r="V96" i="16"/>
  <c r="V104" i="16"/>
  <c r="F66" i="16"/>
  <c r="F69" i="16"/>
  <c r="F72" i="16"/>
  <c r="F86" i="16"/>
  <c r="G103" i="16"/>
  <c r="G105" i="16"/>
  <c r="K431" i="15"/>
  <c r="M432" i="15"/>
  <c r="M431" i="15"/>
  <c r="L431" i="15"/>
  <c r="J431" i="15"/>
  <c r="L432" i="15"/>
  <c r="H2" i="17"/>
  <c r="H3" i="17"/>
  <c r="I2" i="17"/>
  <c r="I3" i="17"/>
  <c r="G5" i="17"/>
  <c r="G4" i="17"/>
  <c r="G6" i="17"/>
  <c r="H22" i="17"/>
  <c r="H25" i="17"/>
  <c r="G26" i="17"/>
  <c r="K103" i="16"/>
  <c r="K105" i="16"/>
  <c r="O98" i="1"/>
  <c r="J91" i="1"/>
  <c r="M95" i="1"/>
  <c r="F97" i="1"/>
  <c r="G93" i="1"/>
  <c r="F92" i="1"/>
  <c r="H95" i="1"/>
  <c r="N92" i="1"/>
  <c r="I91" i="1"/>
  <c r="N93" i="1"/>
  <c r="M98" i="1"/>
  <c r="E92" i="1"/>
  <c r="E101" i="1"/>
  <c r="F95" i="1"/>
  <c r="L92" i="1"/>
  <c r="H93" i="1"/>
  <c r="O100" i="1"/>
  <c r="H92" i="1"/>
  <c r="L102" i="1"/>
  <c r="N100" i="1"/>
  <c r="H99" i="1"/>
  <c r="M102" i="1"/>
  <c r="M101" i="1"/>
  <c r="L91" i="1"/>
  <c r="F98" i="1"/>
  <c r="K99" i="1"/>
  <c r="K96" i="1"/>
  <c r="J94" i="1"/>
  <c r="F96" i="1"/>
  <c r="I97" i="1"/>
  <c r="F94" i="1"/>
  <c r="M93" i="1"/>
  <c r="J92" i="1"/>
  <c r="G98" i="1"/>
  <c r="N94" i="1"/>
  <c r="H91" i="1"/>
  <c r="H98" i="1"/>
  <c r="D56" i="1"/>
  <c r="D94" i="1"/>
  <c r="J96" i="1"/>
  <c r="H102" i="1"/>
  <c r="L94" i="1"/>
  <c r="M96" i="1"/>
  <c r="E95" i="1"/>
  <c r="E91" i="1"/>
  <c r="O99" i="1"/>
  <c r="I101" i="1"/>
  <c r="I100" i="1"/>
  <c r="F102" i="1"/>
  <c r="O96" i="1"/>
  <c r="O92" i="1"/>
  <c r="H100" i="1"/>
  <c r="O95" i="1"/>
  <c r="N101" i="1"/>
  <c r="H94" i="1"/>
  <c r="E100" i="1"/>
  <c r="L96" i="1"/>
  <c r="G102" i="1"/>
  <c r="F99" i="1"/>
  <c r="I92" i="1"/>
  <c r="E93" i="1"/>
  <c r="N97" i="1"/>
  <c r="K97" i="1"/>
  <c r="E99" i="1"/>
  <c r="G91" i="1"/>
  <c r="E96" i="1"/>
  <c r="O93" i="1"/>
  <c r="G97" i="1"/>
  <c r="F91" i="1"/>
  <c r="G94" i="1"/>
  <c r="H101" i="1"/>
  <c r="L101" i="1"/>
  <c r="E102" i="1"/>
  <c r="J99" i="1"/>
  <c r="N99" i="1"/>
  <c r="I98" i="1"/>
  <c r="L97" i="1"/>
  <c r="N98" i="1"/>
  <c r="M94" i="1"/>
  <c r="N95" i="1"/>
  <c r="J102" i="1"/>
  <c r="G96" i="1"/>
  <c r="O97" i="1"/>
  <c r="O101" i="1"/>
  <c r="K102" i="1"/>
  <c r="E94" i="1"/>
  <c r="I93" i="1"/>
  <c r="G95" i="1"/>
  <c r="I94" i="1"/>
  <c r="I99" i="1"/>
  <c r="O102" i="1"/>
  <c r="N96" i="1"/>
  <c r="F101" i="1"/>
  <c r="L98" i="1"/>
  <c r="J93" i="1"/>
  <c r="J97" i="1"/>
  <c r="I102" i="1"/>
  <c r="L95" i="1"/>
  <c r="K100" i="1"/>
  <c r="G100" i="1"/>
  <c r="H96" i="1"/>
  <c r="M97" i="1"/>
  <c r="J98" i="1"/>
  <c r="K98" i="1"/>
  <c r="G101" i="1"/>
  <c r="I96" i="1"/>
  <c r="H97" i="1"/>
  <c r="O94" i="1"/>
  <c r="K94" i="1"/>
  <c r="J95" i="1"/>
  <c r="F93" i="1"/>
  <c r="M92" i="1"/>
  <c r="L93" i="1"/>
  <c r="N102" i="1"/>
  <c r="I95" i="1"/>
  <c r="N91" i="1"/>
  <c r="K101" i="1"/>
  <c r="G99" i="1"/>
  <c r="K93" i="1"/>
  <c r="L100" i="1"/>
  <c r="J101" i="1"/>
  <c r="K95" i="1"/>
  <c r="M91" i="1"/>
  <c r="E98" i="1"/>
  <c r="M99" i="1"/>
  <c r="O91" i="1"/>
  <c r="E97" i="1"/>
  <c r="L99" i="1"/>
  <c r="F100" i="1"/>
  <c r="M100" i="1"/>
  <c r="G92" i="1"/>
  <c r="J100" i="1"/>
  <c r="K91" i="1"/>
  <c r="D91" i="1"/>
  <c r="C78" i="1"/>
  <c r="H3" i="16"/>
  <c r="H103" i="16"/>
  <c r="H105" i="16"/>
  <c r="G66" i="16"/>
  <c r="G69" i="16"/>
  <c r="G72" i="16"/>
  <c r="G86" i="16"/>
  <c r="G12" i="16"/>
  <c r="D100" i="1"/>
  <c r="D101" i="1"/>
  <c r="I4" i="17"/>
  <c r="J2" i="17"/>
  <c r="J3" i="17"/>
  <c r="J31" i="17"/>
  <c r="I5" i="17"/>
  <c r="H31" i="17"/>
  <c r="H5" i="17"/>
  <c r="H4" i="17"/>
  <c r="H6" i="17"/>
  <c r="I31" i="17"/>
  <c r="I6" i="17"/>
  <c r="I22" i="17"/>
  <c r="I25" i="17"/>
  <c r="H26" i="17"/>
  <c r="O103" i="16"/>
  <c r="O105" i="16"/>
  <c r="O66" i="16"/>
  <c r="O69" i="16"/>
  <c r="O72" i="16"/>
  <c r="O86" i="16"/>
  <c r="D95" i="1"/>
  <c r="D92" i="1"/>
  <c r="D98" i="1"/>
  <c r="D102" i="1"/>
  <c r="D97" i="1"/>
  <c r="D93" i="1"/>
  <c r="D96" i="1"/>
  <c r="D99" i="1"/>
  <c r="C79" i="1"/>
  <c r="H4" i="16"/>
  <c r="H5" i="16"/>
  <c r="I2" i="16"/>
  <c r="H6" i="16"/>
  <c r="L103" i="16"/>
  <c r="L105" i="16"/>
  <c r="K66" i="16"/>
  <c r="K69" i="16"/>
  <c r="K72" i="16"/>
  <c r="K86" i="16"/>
  <c r="P103" i="16"/>
  <c r="I103" i="16"/>
  <c r="I105" i="16"/>
  <c r="I66" i="16"/>
  <c r="I69" i="16"/>
  <c r="I72" i="16"/>
  <c r="I86" i="16"/>
  <c r="H66" i="16"/>
  <c r="H69" i="16"/>
  <c r="H72" i="16"/>
  <c r="H86" i="16"/>
  <c r="K2" i="17"/>
  <c r="K3" i="17"/>
  <c r="K31" i="17"/>
  <c r="J5" i="17"/>
  <c r="J6" i="17"/>
  <c r="J4" i="17"/>
  <c r="J22" i="17"/>
  <c r="J25" i="17"/>
  <c r="I26" i="17"/>
  <c r="C80" i="1"/>
  <c r="H12" i="16"/>
  <c r="M103" i="16"/>
  <c r="M105" i="16"/>
  <c r="L66" i="16"/>
  <c r="L69" i="16"/>
  <c r="L72" i="16"/>
  <c r="L86" i="16"/>
  <c r="I3" i="16"/>
  <c r="T103" i="16"/>
  <c r="T105" i="16"/>
  <c r="P105" i="16"/>
  <c r="K5" i="17"/>
  <c r="K4" i="17"/>
  <c r="K6" i="17"/>
  <c r="L2" i="17"/>
  <c r="L3" i="17"/>
  <c r="L6" i="17"/>
  <c r="K22" i="17"/>
  <c r="K25" i="17"/>
  <c r="J26" i="17"/>
  <c r="C81" i="1"/>
  <c r="P66" i="16"/>
  <c r="P69" i="16"/>
  <c r="P72" i="16"/>
  <c r="P86" i="16"/>
  <c r="Q103" i="16"/>
  <c r="Q105" i="16"/>
  <c r="N103" i="16"/>
  <c r="N105" i="16"/>
  <c r="N66" i="16"/>
  <c r="N69" i="16"/>
  <c r="N72" i="16"/>
  <c r="N86" i="16"/>
  <c r="M66" i="16"/>
  <c r="M69" i="16"/>
  <c r="M72" i="16"/>
  <c r="M86" i="16"/>
  <c r="T66" i="16"/>
  <c r="T69" i="16"/>
  <c r="T72" i="16"/>
  <c r="T86" i="16"/>
  <c r="U103" i="16"/>
  <c r="I5" i="16"/>
  <c r="I4" i="16"/>
  <c r="I6" i="16"/>
  <c r="J3" i="16"/>
  <c r="L4" i="17"/>
  <c r="M2" i="17"/>
  <c r="M3" i="17"/>
  <c r="M31" i="17"/>
  <c r="I12" i="16"/>
  <c r="L5" i="17"/>
  <c r="L31" i="17"/>
  <c r="L22" i="17"/>
  <c r="L25" i="17"/>
  <c r="K26" i="17"/>
  <c r="C82" i="1"/>
  <c r="U105" i="16"/>
  <c r="Y103" i="16"/>
  <c r="Y105" i="16"/>
  <c r="J5" i="16"/>
  <c r="J6" i="16"/>
  <c r="K2" i="16"/>
  <c r="J4" i="16"/>
  <c r="J12" i="16"/>
  <c r="Q66" i="16"/>
  <c r="Q69" i="16"/>
  <c r="Q72" i="16"/>
  <c r="Q86" i="16"/>
  <c r="R103" i="16"/>
  <c r="R105" i="16"/>
  <c r="M6" i="17"/>
  <c r="N2" i="17"/>
  <c r="N3" i="17"/>
  <c r="M5" i="17"/>
  <c r="M4" i="17"/>
  <c r="M22" i="17"/>
  <c r="M25" i="17"/>
  <c r="L26" i="17"/>
  <c r="C83" i="1"/>
  <c r="O2" i="16"/>
  <c r="K3" i="16"/>
  <c r="S103" i="16"/>
  <c r="S105" i="16"/>
  <c r="S66" i="16"/>
  <c r="S69" i="16"/>
  <c r="S72" i="16"/>
  <c r="S86" i="16"/>
  <c r="R66" i="16"/>
  <c r="R69" i="16"/>
  <c r="R72" i="16"/>
  <c r="R86" i="16"/>
  <c r="Y66" i="16"/>
  <c r="Y69" i="16"/>
  <c r="Y72" i="16"/>
  <c r="Y86" i="16"/>
  <c r="Z103" i="16"/>
  <c r="V103" i="16"/>
  <c r="V105" i="16"/>
  <c r="U66" i="16"/>
  <c r="U69" i="16"/>
  <c r="U72" i="16"/>
  <c r="U86" i="16"/>
  <c r="O2" i="17"/>
  <c r="O3" i="17"/>
  <c r="N31" i="17"/>
  <c r="N6" i="17"/>
  <c r="N5" i="17"/>
  <c r="N4" i="17"/>
  <c r="N22" i="17"/>
  <c r="N25" i="17"/>
  <c r="M26" i="17"/>
  <c r="C84" i="1"/>
  <c r="K5" i="16"/>
  <c r="K4" i="16"/>
  <c r="L2" i="16"/>
  <c r="K6" i="16"/>
  <c r="O31" i="17"/>
  <c r="O6" i="17"/>
  <c r="P2" i="17"/>
  <c r="P3" i="17"/>
  <c r="O5" i="17"/>
  <c r="O4" i="17"/>
  <c r="W103" i="16"/>
  <c r="W105" i="16"/>
  <c r="V66" i="16"/>
  <c r="V69" i="16"/>
  <c r="V72" i="16"/>
  <c r="V86" i="16"/>
  <c r="Z105" i="16"/>
  <c r="AD103" i="16"/>
  <c r="AD105" i="16"/>
  <c r="K12" i="16"/>
  <c r="O22" i="17"/>
  <c r="O25" i="17"/>
  <c r="N26" i="17"/>
  <c r="C85" i="1"/>
  <c r="D73" i="1" a="1"/>
  <c r="D73" i="1"/>
  <c r="AE103" i="16"/>
  <c r="AD66" i="16"/>
  <c r="AD69" i="16"/>
  <c r="AD72" i="16"/>
  <c r="AD86" i="16"/>
  <c r="P6" i="17"/>
  <c r="P31" i="17"/>
  <c r="P4" i="17"/>
  <c r="P5" i="17"/>
  <c r="Q2" i="17"/>
  <c r="Q3" i="17"/>
  <c r="AA103" i="16"/>
  <c r="AA105" i="16"/>
  <c r="Z66" i="16"/>
  <c r="Z69" i="16"/>
  <c r="Z72" i="16"/>
  <c r="Z86" i="16"/>
  <c r="X103" i="16"/>
  <c r="X105" i="16"/>
  <c r="X66" i="16"/>
  <c r="X69" i="16"/>
  <c r="X72" i="16"/>
  <c r="X86" i="16"/>
  <c r="W66" i="16"/>
  <c r="W69" i="16"/>
  <c r="W72" i="16"/>
  <c r="W86" i="16"/>
  <c r="L3" i="16"/>
  <c r="P22" i="17"/>
  <c r="P25" i="17"/>
  <c r="O26" i="17"/>
  <c r="AB103" i="16"/>
  <c r="AB105" i="16"/>
  <c r="AA66" i="16"/>
  <c r="AA69" i="16"/>
  <c r="AA72" i="16"/>
  <c r="AA86" i="16"/>
  <c r="Q5" i="17"/>
  <c r="Q31" i="17"/>
  <c r="Q6" i="17"/>
  <c r="R2" i="17"/>
  <c r="R3" i="17"/>
  <c r="Q4" i="17"/>
  <c r="L5" i="16"/>
  <c r="L4" i="16"/>
  <c r="L12" i="16"/>
  <c r="M2" i="16"/>
  <c r="L6" i="16"/>
  <c r="AI103" i="16"/>
  <c r="AI105" i="16"/>
  <c r="AE105" i="16"/>
  <c r="Q22" i="17"/>
  <c r="Q25" i="17"/>
  <c r="P26" i="17"/>
  <c r="AE66" i="16"/>
  <c r="AE69" i="16"/>
  <c r="AE72" i="16"/>
  <c r="AE86" i="16"/>
  <c r="AF103" i="16"/>
  <c r="AF105" i="16"/>
  <c r="AI66" i="16"/>
  <c r="AI69" i="16"/>
  <c r="AI72" i="16"/>
  <c r="AI86" i="16"/>
  <c r="AJ103" i="16"/>
  <c r="R31" i="17"/>
  <c r="R4" i="17"/>
  <c r="R6" i="17"/>
  <c r="R5" i="17"/>
  <c r="S2" i="17"/>
  <c r="S3" i="17"/>
  <c r="AC103" i="16"/>
  <c r="AC105" i="16"/>
  <c r="AC66" i="16"/>
  <c r="AC69" i="16"/>
  <c r="AC72" i="16"/>
  <c r="AC86" i="16"/>
  <c r="AB66" i="16"/>
  <c r="AB69" i="16"/>
  <c r="AB72" i="16"/>
  <c r="AB86" i="16"/>
  <c r="M3" i="16"/>
  <c r="R22" i="17"/>
  <c r="R25" i="17"/>
  <c r="Q26" i="17"/>
  <c r="AF66" i="16"/>
  <c r="AF69" i="16"/>
  <c r="AF72" i="16"/>
  <c r="AF86" i="16"/>
  <c r="AG103" i="16"/>
  <c r="AG105" i="16"/>
  <c r="M4" i="16"/>
  <c r="M6" i="16"/>
  <c r="N2" i="16"/>
  <c r="M5" i="16"/>
  <c r="S6" i="17"/>
  <c r="S5" i="17"/>
  <c r="S31" i="17"/>
  <c r="S4" i="17"/>
  <c r="T2" i="17"/>
  <c r="T3" i="17"/>
  <c r="AJ105" i="16"/>
  <c r="AN103" i="16"/>
  <c r="AN105" i="16"/>
  <c r="AN66" i="16"/>
  <c r="AN69" i="16"/>
  <c r="AN72" i="16"/>
  <c r="AN86" i="16"/>
  <c r="S22" i="17"/>
  <c r="R26" i="17"/>
  <c r="M12" i="16"/>
  <c r="AG66" i="16"/>
  <c r="AG69" i="16"/>
  <c r="AG72" i="16"/>
  <c r="AG86" i="16"/>
  <c r="AH103" i="16"/>
  <c r="AH105" i="16"/>
  <c r="AH66" i="16"/>
  <c r="AH69" i="16"/>
  <c r="AH72" i="16"/>
  <c r="AH86" i="16"/>
  <c r="S25" i="17"/>
  <c r="N3" i="16"/>
  <c r="N18" i="16"/>
  <c r="AJ66" i="16"/>
  <c r="AJ69" i="16"/>
  <c r="AJ72" i="16"/>
  <c r="AJ86" i="16"/>
  <c r="AK103" i="16"/>
  <c r="AK105" i="16"/>
  <c r="T31" i="17"/>
  <c r="T6" i="17"/>
  <c r="T5" i="17"/>
  <c r="U2" i="17"/>
  <c r="U3" i="17"/>
  <c r="T4" i="17"/>
  <c r="T22" i="17"/>
  <c r="T25" i="17"/>
  <c r="S26" i="17"/>
  <c r="N4" i="16"/>
  <c r="N6" i="16"/>
  <c r="O3" i="16"/>
  <c r="N5" i="16"/>
  <c r="U31" i="17"/>
  <c r="U4" i="17"/>
  <c r="U6" i="17"/>
  <c r="U5" i="17"/>
  <c r="V2" i="17"/>
  <c r="V3" i="17"/>
  <c r="AK66" i="16"/>
  <c r="AK69" i="16"/>
  <c r="AK72" i="16"/>
  <c r="AK86" i="16"/>
  <c r="AL103" i="16"/>
  <c r="AL105" i="16"/>
  <c r="U22" i="17"/>
  <c r="U25" i="17"/>
  <c r="T26" i="17"/>
  <c r="N12" i="16"/>
  <c r="V5" i="17"/>
  <c r="V31" i="17"/>
  <c r="V4" i="17"/>
  <c r="V6" i="17"/>
  <c r="W2" i="17"/>
  <c r="W3" i="17"/>
  <c r="AL66" i="16"/>
  <c r="AL69" i="16"/>
  <c r="AL72" i="16"/>
  <c r="AL86" i="16"/>
  <c r="AM103" i="16"/>
  <c r="AM105" i="16"/>
  <c r="AM66" i="16"/>
  <c r="AM69" i="16"/>
  <c r="AM72" i="16"/>
  <c r="AM86" i="16"/>
  <c r="O4" i="16"/>
  <c r="O12" i="16"/>
  <c r="P2" i="16"/>
  <c r="O6" i="16"/>
  <c r="O5" i="16"/>
  <c r="V22" i="17"/>
  <c r="V25" i="17"/>
  <c r="U26" i="17"/>
  <c r="P3" i="16"/>
  <c r="T2" i="16"/>
  <c r="W31" i="17"/>
  <c r="W4" i="17"/>
  <c r="W5" i="17"/>
  <c r="W6" i="17"/>
  <c r="X2" i="17"/>
  <c r="X3" i="17"/>
  <c r="W22" i="17"/>
  <c r="W25" i="17"/>
  <c r="V26" i="17"/>
  <c r="X31" i="17"/>
  <c r="X5" i="17"/>
  <c r="Y2" i="17"/>
  <c r="Y3" i="17"/>
  <c r="X6" i="17"/>
  <c r="X4" i="17"/>
  <c r="P6" i="16"/>
  <c r="P4" i="16"/>
  <c r="Q2" i="16"/>
  <c r="P5" i="16"/>
  <c r="X22" i="17"/>
  <c r="X25" i="17"/>
  <c r="W26" i="17"/>
  <c r="P12" i="16"/>
  <c r="Q3" i="16"/>
  <c r="Y31" i="17"/>
  <c r="Y4" i="17"/>
  <c r="Z2" i="17"/>
  <c r="Z3" i="17"/>
  <c r="Y5" i="17"/>
  <c r="Y6" i="17"/>
  <c r="Y22" i="17"/>
  <c r="X26" i="17"/>
  <c r="Q6" i="16"/>
  <c r="Q4" i="16"/>
  <c r="R2" i="16"/>
  <c r="Q5" i="16"/>
  <c r="Y25" i="17"/>
  <c r="Z31" i="17"/>
  <c r="Z5" i="17"/>
  <c r="Z6" i="17"/>
  <c r="Z4" i="17"/>
  <c r="AA2" i="17"/>
  <c r="AA3" i="17"/>
  <c r="Z22" i="17"/>
  <c r="Z25" i="17"/>
  <c r="Y26" i="17"/>
  <c r="AA31" i="17"/>
  <c r="AB2" i="17"/>
  <c r="AB3" i="17"/>
  <c r="AA6" i="17"/>
  <c r="AA4" i="17"/>
  <c r="AA5" i="17"/>
  <c r="R3" i="16"/>
  <c r="Q12" i="16"/>
  <c r="AA22" i="17"/>
  <c r="AA25" i="17"/>
  <c r="Z26" i="17"/>
  <c r="AB31" i="17"/>
  <c r="AB5" i="17"/>
  <c r="AB6" i="17"/>
  <c r="AB4" i="17"/>
  <c r="AC2" i="17"/>
  <c r="AC3" i="17"/>
  <c r="R6" i="16"/>
  <c r="R4" i="16"/>
  <c r="S2" i="16"/>
  <c r="R5" i="16"/>
  <c r="AB22" i="17"/>
  <c r="AB25" i="17"/>
  <c r="AA26" i="17"/>
  <c r="AC31" i="17"/>
  <c r="AC5" i="17"/>
  <c r="AC4" i="17"/>
  <c r="AD2" i="17"/>
  <c r="AD3" i="17"/>
  <c r="AC6" i="17"/>
  <c r="S3" i="16"/>
  <c r="R12" i="16"/>
  <c r="AC22" i="17"/>
  <c r="AC25" i="17"/>
  <c r="AB26" i="17"/>
  <c r="AE2" i="17"/>
  <c r="AE3" i="17"/>
  <c r="AD31" i="17"/>
  <c r="AD5" i="17"/>
  <c r="AD4" i="17"/>
  <c r="AD6" i="17"/>
  <c r="S4" i="16"/>
  <c r="T3" i="16"/>
  <c r="S6" i="16"/>
  <c r="S5" i="16"/>
  <c r="R128" i="1"/>
  <c r="R129" i="1"/>
  <c r="R130" i="1"/>
  <c r="R131" i="1"/>
  <c r="R132" i="1"/>
  <c r="R133" i="1"/>
  <c r="R134" i="1"/>
  <c r="R135" i="1"/>
  <c r="R136" i="1"/>
  <c r="R137" i="1"/>
  <c r="R138" i="1"/>
  <c r="T126" i="1"/>
  <c r="U126" i="1"/>
  <c r="V126" i="1"/>
  <c r="W126" i="1"/>
  <c r="X126" i="1"/>
  <c r="Y126" i="1"/>
  <c r="Z126" i="1"/>
  <c r="AA126" i="1"/>
  <c r="AB126" i="1"/>
  <c r="AC126" i="1"/>
  <c r="AD126" i="1"/>
  <c r="R59" i="1"/>
  <c r="R60" i="1"/>
  <c r="R61" i="1"/>
  <c r="R62" i="1"/>
  <c r="R63" i="1"/>
  <c r="R64" i="1"/>
  <c r="R65" i="1"/>
  <c r="R66" i="1"/>
  <c r="R67" i="1"/>
  <c r="R68" i="1"/>
  <c r="R69" i="1"/>
  <c r="T57" i="1"/>
  <c r="U57" i="1"/>
  <c r="V57" i="1"/>
  <c r="W57" i="1"/>
  <c r="X57" i="1"/>
  <c r="Y57" i="1"/>
  <c r="Z57" i="1"/>
  <c r="AA57" i="1"/>
  <c r="AB57" i="1"/>
  <c r="AC57" i="1"/>
  <c r="AD57" i="1"/>
  <c r="R94" i="1"/>
  <c r="R95" i="1"/>
  <c r="R96" i="1"/>
  <c r="R97" i="1"/>
  <c r="R98" i="1"/>
  <c r="R99" i="1"/>
  <c r="R100" i="1"/>
  <c r="R101" i="1"/>
  <c r="R102" i="1"/>
  <c r="R103" i="1"/>
  <c r="R104" i="1"/>
  <c r="R77" i="1"/>
  <c r="R78" i="1"/>
  <c r="R79" i="1"/>
  <c r="R80" i="1"/>
  <c r="R81" i="1"/>
  <c r="R82" i="1"/>
  <c r="R83" i="1"/>
  <c r="R84" i="1"/>
  <c r="R85" i="1"/>
  <c r="R86" i="1"/>
  <c r="R87" i="1"/>
  <c r="R42" i="1"/>
  <c r="R43" i="1"/>
  <c r="R44" i="1"/>
  <c r="R45" i="1"/>
  <c r="R46" i="1"/>
  <c r="R47" i="1"/>
  <c r="R48" i="1"/>
  <c r="R49" i="1"/>
  <c r="R50" i="1"/>
  <c r="R51" i="1"/>
  <c r="R52" i="1"/>
  <c r="R24" i="1"/>
  <c r="R25" i="1"/>
  <c r="R26" i="1"/>
  <c r="R27" i="1"/>
  <c r="R28" i="1"/>
  <c r="R29" i="1"/>
  <c r="R30" i="1"/>
  <c r="R31" i="1"/>
  <c r="R32" i="1"/>
  <c r="R33" i="1"/>
  <c r="R34" i="1"/>
  <c r="T22" i="1"/>
  <c r="U22" i="1"/>
  <c r="V22" i="1"/>
  <c r="W22" i="1"/>
  <c r="X22" i="1"/>
  <c r="Y22" i="1"/>
  <c r="Z22" i="1"/>
  <c r="AA22" i="1"/>
  <c r="AB22" i="1"/>
  <c r="AC22" i="1"/>
  <c r="AD22" i="1"/>
  <c r="T92" i="1"/>
  <c r="U92" i="1"/>
  <c r="V92" i="1"/>
  <c r="W92" i="1"/>
  <c r="X92" i="1"/>
  <c r="Y92" i="1"/>
  <c r="Z92" i="1"/>
  <c r="AA92" i="1"/>
  <c r="AB92" i="1"/>
  <c r="AC92" i="1"/>
  <c r="AD92" i="1"/>
  <c r="T75" i="1"/>
  <c r="U75" i="1"/>
  <c r="V75" i="1"/>
  <c r="W75" i="1"/>
  <c r="X75" i="1"/>
  <c r="Y75" i="1"/>
  <c r="Z75" i="1"/>
  <c r="AA75" i="1"/>
  <c r="AB75" i="1"/>
  <c r="AC75" i="1"/>
  <c r="AD75" i="1"/>
  <c r="T40" i="1"/>
  <c r="U40" i="1"/>
  <c r="V40" i="1"/>
  <c r="W40" i="1"/>
  <c r="X40" i="1"/>
  <c r="Y40" i="1"/>
  <c r="Z40" i="1"/>
  <c r="AA40" i="1"/>
  <c r="AB40" i="1"/>
  <c r="AC40" i="1"/>
  <c r="AD40" i="1"/>
  <c r="R5" i="1"/>
  <c r="R6" i="1"/>
  <c r="R7" i="1"/>
  <c r="R8" i="1"/>
  <c r="R9" i="1"/>
  <c r="R10" i="1"/>
  <c r="R11" i="1"/>
  <c r="R12" i="1"/>
  <c r="R13" i="1"/>
  <c r="R14" i="1"/>
  <c r="R15" i="1"/>
  <c r="T3" i="1"/>
  <c r="U3" i="1"/>
  <c r="V3" i="1"/>
  <c r="W3" i="1"/>
  <c r="X3" i="1"/>
  <c r="Y3" i="1"/>
  <c r="Z3" i="1"/>
  <c r="AA3" i="1"/>
  <c r="AB3" i="1"/>
  <c r="AC3" i="1"/>
  <c r="AD3" i="1"/>
  <c r="B5" i="1" a="1"/>
  <c r="B5" i="1"/>
  <c r="B6" i="1" a="1"/>
  <c r="B6" i="1"/>
  <c r="B4" i="1" a="1"/>
  <c r="B4" i="1"/>
  <c r="AD22" i="17"/>
  <c r="AD25" i="17"/>
  <c r="AC26" i="17"/>
  <c r="T5" i="16"/>
  <c r="T6" i="16"/>
  <c r="U2" i="16"/>
  <c r="T4" i="16"/>
  <c r="T12" i="16"/>
  <c r="S12" i="16"/>
  <c r="AE31" i="17"/>
  <c r="AE6" i="17"/>
  <c r="AF2" i="17"/>
  <c r="AF3" i="17"/>
  <c r="AE5" i="17"/>
  <c r="AE4" i="17"/>
  <c r="AE22" i="17"/>
  <c r="AE25" i="17"/>
  <c r="AD26" i="17"/>
  <c r="AF31" i="17"/>
  <c r="AF5" i="17"/>
  <c r="AG2" i="17"/>
  <c r="AG3" i="17"/>
  <c r="AF6" i="17"/>
  <c r="AF4" i="17"/>
  <c r="U3" i="16"/>
  <c r="Y2" i="16"/>
  <c r="AF22" i="17"/>
  <c r="AF25" i="17"/>
  <c r="AE26" i="17"/>
  <c r="U5" i="16"/>
  <c r="V2" i="16"/>
  <c r="U4" i="16"/>
  <c r="U6" i="16"/>
  <c r="AG31" i="17"/>
  <c r="AG5" i="17"/>
  <c r="AH2" i="17"/>
  <c r="AH3" i="17"/>
  <c r="AG6" i="17"/>
  <c r="AG4" i="17"/>
  <c r="AG22" i="17"/>
  <c r="AG25" i="17"/>
  <c r="AF26" i="17"/>
  <c r="U12" i="16"/>
  <c r="V3" i="16"/>
  <c r="AH31" i="17"/>
  <c r="AH5" i="17"/>
  <c r="AI2" i="17"/>
  <c r="AI3" i="17"/>
  <c r="AH6" i="17"/>
  <c r="AH4" i="17"/>
  <c r="AH22" i="17"/>
  <c r="AH25" i="17"/>
  <c r="AG26" i="17"/>
  <c r="AI31" i="17"/>
  <c r="AJ2" i="17"/>
  <c r="AJ3" i="17"/>
  <c r="AI4" i="17"/>
  <c r="AI5" i="17"/>
  <c r="AI6" i="17"/>
  <c r="W2" i="16"/>
  <c r="W3" i="16"/>
  <c r="V5" i="16"/>
  <c r="V4" i="16"/>
  <c r="V6" i="16"/>
  <c r="AI22" i="17"/>
  <c r="AI25" i="17"/>
  <c r="AH26" i="17"/>
  <c r="V12" i="16"/>
  <c r="X2" i="16"/>
  <c r="X3" i="16"/>
  <c r="W4" i="16"/>
  <c r="W5" i="16"/>
  <c r="W6" i="16"/>
  <c r="AJ6" i="17"/>
  <c r="AJ31" i="17"/>
  <c r="AK2" i="17"/>
  <c r="AK3" i="17"/>
  <c r="AJ4" i="17"/>
  <c r="AJ5" i="17"/>
  <c r="AJ22" i="17"/>
  <c r="AJ25" i="17"/>
  <c r="AI26" i="17"/>
  <c r="Y3" i="16"/>
  <c r="X4" i="16"/>
  <c r="X5" i="16"/>
  <c r="X6" i="16"/>
  <c r="W12" i="16"/>
  <c r="AK31" i="17"/>
  <c r="AK4" i="17"/>
  <c r="AL2" i="17"/>
  <c r="AL3" i="17"/>
  <c r="AK6" i="17"/>
  <c r="AK5" i="17"/>
  <c r="AK22" i="17"/>
  <c r="AK25" i="17"/>
  <c r="AJ26" i="17"/>
  <c r="X12" i="16"/>
  <c r="AL31" i="17"/>
  <c r="AL4" i="17"/>
  <c r="AM2" i="17"/>
  <c r="AM3" i="17"/>
  <c r="AL6" i="17"/>
  <c r="AL5" i="17"/>
  <c r="Y5" i="16"/>
  <c r="Z2" i="16"/>
  <c r="Y4" i="16"/>
  <c r="Y12" i="16"/>
  <c r="Y6" i="16"/>
  <c r="AL22" i="17"/>
  <c r="AL25" i="17"/>
  <c r="AK26" i="17"/>
  <c r="AD2" i="16"/>
  <c r="Z3" i="16"/>
  <c r="AM6" i="17"/>
  <c r="AM5" i="17"/>
  <c r="AM31" i="17"/>
  <c r="AM4" i="17"/>
  <c r="AN2" i="17"/>
  <c r="AN3" i="17"/>
  <c r="AM22" i="17"/>
  <c r="AM25" i="17"/>
  <c r="AL26" i="17"/>
  <c r="AN31" i="17"/>
  <c r="AN5" i="17"/>
  <c r="AO2" i="17"/>
  <c r="AO3" i="17"/>
  <c r="AN6" i="17"/>
  <c r="AN4" i="17"/>
  <c r="Z5" i="16"/>
  <c r="AA2" i="16"/>
  <c r="AA3" i="16"/>
  <c r="Z6" i="16"/>
  <c r="Z4" i="16"/>
  <c r="Z12" i="16"/>
  <c r="AN22" i="17"/>
  <c r="AN25" i="17"/>
  <c r="AM26" i="17"/>
  <c r="AA4" i="16"/>
  <c r="AA6" i="16"/>
  <c r="AB2" i="16"/>
  <c r="AB3" i="16"/>
  <c r="AA5" i="16"/>
  <c r="AO31" i="17"/>
  <c r="AP2" i="17"/>
  <c r="AP3" i="17"/>
  <c r="AO4" i="17"/>
  <c r="AO6" i="17"/>
  <c r="AO5" i="17"/>
  <c r="AO22" i="17"/>
  <c r="AO25" i="17"/>
  <c r="AN26" i="17"/>
  <c r="AA12" i="16"/>
  <c r="AP5" i="17"/>
  <c r="AP31" i="17"/>
  <c r="AP4" i="17"/>
  <c r="AP6" i="17"/>
  <c r="AQ2" i="17"/>
  <c r="AQ3" i="17"/>
  <c r="AB6" i="16"/>
  <c r="AB5" i="16"/>
  <c r="AC2" i="16"/>
  <c r="AC3" i="16"/>
  <c r="AB4" i="16"/>
  <c r="AP22" i="17"/>
  <c r="AP25" i="17"/>
  <c r="AO26" i="17"/>
  <c r="AB12" i="16"/>
  <c r="AQ31" i="17"/>
  <c r="AQ4" i="17"/>
  <c r="AQ6" i="17"/>
  <c r="AQ5" i="17"/>
  <c r="AR2" i="17"/>
  <c r="AR3" i="17"/>
  <c r="AC5" i="16"/>
  <c r="AD3" i="16"/>
  <c r="AC6" i="16"/>
  <c r="AC4" i="16"/>
  <c r="AC12" i="16"/>
  <c r="AQ22" i="17"/>
  <c r="AP26" i="17"/>
  <c r="AR31" i="17"/>
  <c r="AR4" i="17"/>
  <c r="AR6" i="17"/>
  <c r="AR5" i="17"/>
  <c r="AS2" i="17"/>
  <c r="AS3" i="17"/>
  <c r="AQ25" i="17"/>
  <c r="AE2" i="16"/>
  <c r="AD4" i="16"/>
  <c r="AD12" i="16"/>
  <c r="AD5" i="16"/>
  <c r="AD6" i="16"/>
  <c r="AR22" i="17"/>
  <c r="AR25" i="17"/>
  <c r="AQ26" i="17"/>
  <c r="AE3" i="16"/>
  <c r="AI2" i="16"/>
  <c r="AS31" i="17"/>
  <c r="AS4" i="17"/>
  <c r="AS6" i="17"/>
  <c r="AS5" i="17"/>
  <c r="AT2" i="17"/>
  <c r="AT3" i="17"/>
  <c r="AS22" i="17"/>
  <c r="AS25" i="17"/>
  <c r="AR26" i="17"/>
  <c r="AT31" i="17"/>
  <c r="AT6" i="17"/>
  <c r="AT4" i="17"/>
  <c r="AU2" i="17"/>
  <c r="AU3" i="17"/>
  <c r="AT5" i="17"/>
  <c r="AE6" i="16"/>
  <c r="AE5" i="16"/>
  <c r="AE4" i="16"/>
  <c r="AF2" i="16"/>
  <c r="AF3" i="16"/>
  <c r="AT22" i="17"/>
  <c r="AT25" i="17"/>
  <c r="AS26" i="17"/>
  <c r="AE12" i="16"/>
  <c r="AF5" i="16"/>
  <c r="AF6" i="16"/>
  <c r="AF4" i="16"/>
  <c r="AG2" i="16"/>
  <c r="AG3" i="16"/>
  <c r="AU31" i="17"/>
  <c r="AU5" i="17"/>
  <c r="AU6" i="17"/>
  <c r="AU4" i="17"/>
  <c r="F19" i="16"/>
  <c r="H20" i="16"/>
  <c r="F27" i="16"/>
  <c r="F18" i="16"/>
  <c r="G18" i="16"/>
  <c r="G19" i="16"/>
  <c r="F20" i="16"/>
  <c r="G27" i="16"/>
  <c r="G36" i="16"/>
  <c r="H27" i="16"/>
  <c r="H36" i="16"/>
  <c r="F26" i="16"/>
  <c r="G26" i="16"/>
  <c r="H19" i="16"/>
  <c r="I18" i="16"/>
  <c r="I19" i="16"/>
  <c r="H18" i="16"/>
  <c r="G20" i="16"/>
  <c r="I27" i="16"/>
  <c r="I36" i="16"/>
  <c r="I20" i="16"/>
  <c r="K19" i="16"/>
  <c r="K20" i="16"/>
  <c r="K27" i="16"/>
  <c r="K36" i="16"/>
  <c r="L27" i="16"/>
  <c r="L36" i="16"/>
  <c r="I26" i="16"/>
  <c r="J26" i="16"/>
  <c r="M27" i="16"/>
  <c r="M36" i="16"/>
  <c r="M19" i="16"/>
  <c r="K26" i="16"/>
  <c r="L19" i="16"/>
  <c r="K18" i="16"/>
  <c r="L18" i="16"/>
  <c r="L20" i="16"/>
  <c r="M20" i="16"/>
  <c r="L26" i="16"/>
  <c r="M18" i="16"/>
  <c r="N27" i="16"/>
  <c r="N36" i="16"/>
  <c r="N20" i="16"/>
  <c r="P18" i="16"/>
  <c r="P27" i="16"/>
  <c r="P36" i="16"/>
  <c r="P20" i="16"/>
  <c r="Q26" i="16"/>
  <c r="P26" i="16"/>
  <c r="Q20" i="16"/>
  <c r="Q27" i="16"/>
  <c r="Q36" i="16"/>
  <c r="Q18" i="16"/>
  <c r="R18" i="16"/>
  <c r="R26" i="16"/>
  <c r="R27" i="16"/>
  <c r="R36" i="16"/>
  <c r="R20" i="16"/>
  <c r="S27" i="16"/>
  <c r="S36" i="16"/>
  <c r="U18" i="16"/>
  <c r="S18" i="16"/>
  <c r="S20" i="16"/>
  <c r="U20" i="16"/>
  <c r="V27" i="16"/>
  <c r="V36" i="16"/>
  <c r="S26" i="16"/>
  <c r="T26" i="16"/>
  <c r="U27" i="16"/>
  <c r="U36" i="16"/>
  <c r="V18" i="16"/>
  <c r="V20" i="16"/>
  <c r="U26" i="16"/>
  <c r="AF12" i="16"/>
  <c r="AU22" i="17"/>
  <c r="AU25" i="17"/>
  <c r="AU26" i="17"/>
  <c r="AT26" i="17"/>
  <c r="O20" i="16"/>
  <c r="T18" i="16"/>
  <c r="Y20" i="16"/>
  <c r="O18" i="16"/>
  <c r="T27" i="16"/>
  <c r="Y18" i="16"/>
  <c r="AG6" i="16"/>
  <c r="AG5" i="16"/>
  <c r="AG4" i="16"/>
  <c r="AH2" i="16"/>
  <c r="AH3" i="16"/>
  <c r="J18" i="16"/>
  <c r="T20" i="16"/>
  <c r="J20" i="16"/>
  <c r="J19" i="16"/>
  <c r="Y27" i="16"/>
  <c r="O27" i="16"/>
  <c r="J27" i="16"/>
  <c r="AG12" i="16"/>
  <c r="H26" i="16"/>
  <c r="M26" i="16"/>
  <c r="N26" i="16"/>
  <c r="O26" i="16"/>
  <c r="V26" i="16"/>
  <c r="AH4" i="16"/>
  <c r="AH5" i="16"/>
  <c r="AI3" i="16"/>
  <c r="AH6" i="16"/>
  <c r="AH12" i="16"/>
  <c r="AI4" i="16"/>
  <c r="AI12" i="16"/>
  <c r="AI5" i="16"/>
  <c r="AI6" i="16"/>
  <c r="AJ2" i="16"/>
  <c r="AN2" i="16"/>
  <c r="AJ3" i="16"/>
  <c r="AJ6" i="16"/>
  <c r="AK2" i="16"/>
  <c r="AK3" i="16"/>
  <c r="AJ4" i="16"/>
  <c r="AJ5" i="16"/>
  <c r="AJ12" i="16"/>
  <c r="AK6" i="16"/>
  <c r="AL2" i="16"/>
  <c r="AL3" i="16"/>
  <c r="AK4" i="16"/>
  <c r="AK5" i="16"/>
  <c r="N19" i="16"/>
  <c r="AK12" i="16"/>
  <c r="AL6" i="16"/>
  <c r="AL4" i="16"/>
  <c r="AL5" i="16"/>
  <c r="AM2" i="16"/>
  <c r="AM3" i="16"/>
  <c r="O19" i="16"/>
  <c r="AL12" i="16"/>
  <c r="AM5" i="16"/>
  <c r="AM4" i="16"/>
  <c r="AM6" i="16"/>
  <c r="AN3" i="16"/>
  <c r="AM12" i="16"/>
  <c r="AN6" i="16"/>
  <c r="AN4" i="16"/>
  <c r="AN12" i="16"/>
  <c r="AN5" i="16"/>
  <c r="P19" i="16"/>
  <c r="Q19" i="16"/>
  <c r="R19" i="16"/>
  <c r="E48" i="1"/>
  <c r="E39" i="1"/>
  <c r="D105" i="1"/>
  <c r="F3" i="1"/>
  <c r="F50" i="1" a="1"/>
  <c r="F50" i="1"/>
  <c r="G50" i="1" a="1"/>
  <c r="G50" i="1"/>
  <c r="H50" i="1" a="1"/>
  <c r="H50" i="1"/>
  <c r="I50" i="1" a="1"/>
  <c r="I50" i="1"/>
  <c r="J50" i="1" a="1"/>
  <c r="J50" i="1"/>
  <c r="K50" i="1" a="1"/>
  <c r="K50" i="1"/>
  <c r="L50" i="1" a="1"/>
  <c r="L50" i="1"/>
  <c r="M50" i="1" a="1"/>
  <c r="M50" i="1"/>
  <c r="N50" i="1" a="1"/>
  <c r="N50" i="1"/>
  <c r="O50" i="1" a="1"/>
  <c r="O50" i="1"/>
  <c r="P50" i="1" a="1"/>
  <c r="P50" i="1"/>
  <c r="E50" i="1" a="1"/>
  <c r="E50" i="1"/>
  <c r="F49" i="1" a="1"/>
  <c r="F49" i="1"/>
  <c r="G49" i="1" a="1"/>
  <c r="G49" i="1"/>
  <c r="H49" i="1" a="1"/>
  <c r="H49" i="1"/>
  <c r="I49" i="1" a="1"/>
  <c r="I49" i="1"/>
  <c r="J49" i="1" a="1"/>
  <c r="J49" i="1"/>
  <c r="K49" i="1" a="1"/>
  <c r="K49" i="1"/>
  <c r="L49" i="1" a="1"/>
  <c r="L49" i="1"/>
  <c r="M49" i="1" a="1"/>
  <c r="M49" i="1"/>
  <c r="N49" i="1" a="1"/>
  <c r="N49" i="1"/>
  <c r="O49" i="1" a="1"/>
  <c r="O49" i="1"/>
  <c r="P49" i="1" a="1"/>
  <c r="P49" i="1"/>
  <c r="E49" i="1" a="1"/>
  <c r="E49" i="1"/>
  <c r="G42" i="1" a="1"/>
  <c r="G42" i="1"/>
  <c r="H42" i="1" a="1"/>
  <c r="H42" i="1"/>
  <c r="I42" i="1" a="1"/>
  <c r="I42" i="1"/>
  <c r="J42" i="1" a="1"/>
  <c r="J42" i="1"/>
  <c r="K42" i="1" a="1"/>
  <c r="K42" i="1"/>
  <c r="L42" i="1" a="1"/>
  <c r="L42" i="1"/>
  <c r="M42" i="1" a="1"/>
  <c r="M42" i="1"/>
  <c r="N42" i="1" a="1"/>
  <c r="N42" i="1"/>
  <c r="O42" i="1" a="1"/>
  <c r="O42" i="1"/>
  <c r="P42" i="1" a="1"/>
  <c r="P42" i="1"/>
  <c r="E42" i="1" a="1"/>
  <c r="E42" i="1"/>
  <c r="F42" i="1" a="1"/>
  <c r="F42" i="1"/>
  <c r="G41" i="1" a="1"/>
  <c r="G41" i="1"/>
  <c r="H41" i="1" a="1"/>
  <c r="H41" i="1"/>
  <c r="I41" i="1" a="1"/>
  <c r="I41" i="1"/>
  <c r="J41" i="1" a="1"/>
  <c r="J41" i="1"/>
  <c r="K41" i="1" a="1"/>
  <c r="K41" i="1"/>
  <c r="L41" i="1" a="1"/>
  <c r="L41" i="1"/>
  <c r="M41" i="1" a="1"/>
  <c r="M41" i="1"/>
  <c r="N41" i="1" a="1"/>
  <c r="N41" i="1"/>
  <c r="O41" i="1" a="1"/>
  <c r="O41" i="1"/>
  <c r="P41" i="1" a="1"/>
  <c r="P41" i="1"/>
  <c r="E41" i="1" a="1"/>
  <c r="E41" i="1"/>
  <c r="F41" i="1" a="1"/>
  <c r="F41" i="1"/>
  <c r="F40" i="1" a="1"/>
  <c r="F40" i="1"/>
  <c r="G40" i="1" a="1"/>
  <c r="G40" i="1"/>
  <c r="H40" i="1" a="1"/>
  <c r="H40" i="1"/>
  <c r="I40" i="1" a="1"/>
  <c r="I40" i="1"/>
  <c r="J40" i="1" a="1"/>
  <c r="J40" i="1"/>
  <c r="K40" i="1" a="1"/>
  <c r="K40" i="1"/>
  <c r="L40" i="1" a="1"/>
  <c r="L40" i="1"/>
  <c r="M40" i="1" a="1"/>
  <c r="M40" i="1"/>
  <c r="N40" i="1" a="1"/>
  <c r="N40" i="1"/>
  <c r="O40" i="1" a="1"/>
  <c r="O40" i="1"/>
  <c r="P40" i="1" a="1"/>
  <c r="P40" i="1"/>
  <c r="E40" i="1" a="1"/>
  <c r="E40" i="1"/>
  <c r="C24" i="1"/>
  <c r="C25" i="1"/>
  <c r="C26" i="1"/>
  <c r="C27" i="1"/>
  <c r="C28" i="1"/>
  <c r="C29" i="1"/>
  <c r="C30" i="1"/>
  <c r="C31" i="1"/>
  <c r="C32" i="1"/>
  <c r="C33" i="1"/>
  <c r="C34" i="1"/>
  <c r="D107" i="1"/>
  <c r="S19" i="16"/>
  <c r="F112" i="1"/>
  <c r="G112" i="1"/>
  <c r="G120" i="1"/>
  <c r="F107" i="1"/>
  <c r="E108" i="1"/>
  <c r="F108" i="1"/>
  <c r="F106" i="1"/>
  <c r="D108" i="1"/>
  <c r="D116" i="1"/>
  <c r="G108" i="1"/>
  <c r="G107" i="1"/>
  <c r="D112" i="1"/>
  <c r="D120" i="1"/>
  <c r="D106" i="1"/>
  <c r="E112" i="1"/>
  <c r="E120" i="1"/>
  <c r="E106" i="1"/>
  <c r="F120" i="1"/>
  <c r="E107" i="1"/>
  <c r="G106" i="1"/>
  <c r="G3" i="1"/>
  <c r="B7" i="1" a="1"/>
  <c r="B7" i="1"/>
  <c r="B8" i="1" a="1"/>
  <c r="B8" i="1"/>
  <c r="B9" i="1" a="1"/>
  <c r="B9" i="1"/>
  <c r="H3" i="1"/>
  <c r="E51" i="1"/>
  <c r="F48" i="1"/>
  <c r="F51" i="1"/>
  <c r="G48" i="1"/>
  <c r="G51" i="1"/>
  <c r="E43" i="1"/>
  <c r="T19" i="16"/>
  <c r="H48" i="1"/>
  <c r="H51" i="1"/>
  <c r="I48" i="1"/>
  <c r="I51" i="1"/>
  <c r="J48" i="1"/>
  <c r="J51" i="1"/>
  <c r="D111" i="1"/>
  <c r="D117" i="1"/>
  <c r="D109" i="1"/>
  <c r="B14" i="1" a="1"/>
  <c r="B14" i="1"/>
  <c r="B15" i="1" a="1"/>
  <c r="B15" i="1"/>
  <c r="B10" i="1" a="1"/>
  <c r="B10" i="1"/>
  <c r="B12" i="1" a="1"/>
  <c r="B12" i="1"/>
  <c r="B13" i="1" a="1"/>
  <c r="B13" i="1"/>
  <c r="B11" i="1" a="1"/>
  <c r="B11" i="1"/>
  <c r="F39" i="1"/>
  <c r="F43" i="1"/>
  <c r="I3" i="1"/>
  <c r="E105" i="1"/>
  <c r="D113" i="1"/>
  <c r="K48" i="1"/>
  <c r="K51" i="1"/>
  <c r="L48" i="1"/>
  <c r="L51" i="1"/>
  <c r="M48" i="1"/>
  <c r="M51" i="1"/>
  <c r="E111" i="1"/>
  <c r="B17" i="1" a="1"/>
  <c r="B17" i="1"/>
  <c r="B16" i="1" a="1"/>
  <c r="B16" i="1"/>
  <c r="G39" i="1"/>
  <c r="G43" i="1"/>
  <c r="J3" i="1"/>
  <c r="D119" i="1"/>
  <c r="D118" i="1"/>
  <c r="D121" i="1"/>
  <c r="D122" i="1"/>
  <c r="E116" i="1"/>
  <c r="E117" i="1"/>
  <c r="E109" i="1"/>
  <c r="E123" i="1"/>
  <c r="N48" i="1"/>
  <c r="N51" i="1"/>
  <c r="O48" i="1"/>
  <c r="O51" i="1"/>
  <c r="P48" i="1"/>
  <c r="P51" i="1"/>
  <c r="G111" i="1"/>
  <c r="F111" i="1"/>
  <c r="H39" i="1"/>
  <c r="H43" i="1"/>
  <c r="K3" i="1"/>
  <c r="F105" i="1"/>
  <c r="E113" i="1"/>
  <c r="I39" i="1"/>
  <c r="I43" i="1"/>
  <c r="L3" i="1"/>
  <c r="E118" i="1"/>
  <c r="E119" i="1"/>
  <c r="E121" i="1"/>
  <c r="E122" i="1"/>
  <c r="F117" i="1"/>
  <c r="F116" i="1"/>
  <c r="F109" i="1"/>
  <c r="F123" i="1"/>
  <c r="B19" i="1" a="1"/>
  <c r="B19" i="1"/>
  <c r="B18" i="1" a="1"/>
  <c r="B18" i="1"/>
  <c r="B20" i="1" a="1"/>
  <c r="B20" i="1"/>
  <c r="J39" i="1"/>
  <c r="J43" i="1"/>
  <c r="M3" i="1"/>
  <c r="G105" i="1"/>
  <c r="F113" i="1"/>
  <c r="K39" i="1"/>
  <c r="K43" i="1"/>
  <c r="N3" i="1"/>
  <c r="F118" i="1"/>
  <c r="F119" i="1"/>
  <c r="F121" i="1"/>
  <c r="F122" i="1"/>
  <c r="G109" i="1"/>
  <c r="G117" i="1"/>
  <c r="G116" i="1"/>
  <c r="B24" i="1" a="1"/>
  <c r="B24" i="1"/>
  <c r="B22" i="1" a="1"/>
  <c r="B22" i="1"/>
  <c r="B23" i="1" a="1"/>
  <c r="B23" i="1"/>
  <c r="B21" i="1" a="1"/>
  <c r="B21" i="1"/>
  <c r="L39" i="1"/>
  <c r="O3" i="1"/>
  <c r="U19" i="16"/>
  <c r="G113" i="1"/>
  <c r="G123" i="1"/>
  <c r="L43" i="1"/>
  <c r="M39" i="1"/>
  <c r="B25" i="1" a="1"/>
  <c r="B25" i="1"/>
  <c r="B27" i="1" a="1"/>
  <c r="B27" i="1"/>
  <c r="B26" i="1" a="1"/>
  <c r="B26" i="1"/>
  <c r="B28" i="1" a="1"/>
  <c r="B28" i="1"/>
  <c r="B29" i="1" a="1"/>
  <c r="B29" i="1"/>
  <c r="P3" i="1"/>
  <c r="G118" i="1"/>
  <c r="G119" i="1"/>
  <c r="G121" i="1"/>
  <c r="G122" i="1"/>
  <c r="M43" i="1"/>
  <c r="N39" i="1"/>
  <c r="B34" i="1" a="1"/>
  <c r="B34" i="1"/>
  <c r="B30" i="1" a="1"/>
  <c r="B30" i="1"/>
  <c r="B31" i="1" a="1"/>
  <c r="B31" i="1"/>
  <c r="B32" i="1" a="1"/>
  <c r="B32" i="1"/>
  <c r="B33" i="1" a="1"/>
  <c r="B33" i="1"/>
  <c r="D58" i="1"/>
  <c r="H75" i="1"/>
  <c r="N80" i="1"/>
  <c r="F84" i="1"/>
  <c r="N78" i="1"/>
  <c r="D78" i="1"/>
  <c r="F76" i="1"/>
  <c r="H85" i="1"/>
  <c r="J75" i="1"/>
  <c r="M76" i="1"/>
  <c r="G83" i="1"/>
  <c r="K77" i="1"/>
  <c r="F85" i="1"/>
  <c r="N79" i="1"/>
  <c r="I75" i="1"/>
  <c r="D77" i="1"/>
  <c r="I81" i="1"/>
  <c r="D84" i="1"/>
  <c r="E78" i="1"/>
  <c r="O77" i="1"/>
  <c r="I84" i="1"/>
  <c r="J84" i="1"/>
  <c r="J74" i="1"/>
  <c r="K75" i="1"/>
  <c r="N85" i="1"/>
  <c r="J85" i="1"/>
  <c r="E77" i="1"/>
  <c r="O76" i="1"/>
  <c r="K79" i="1"/>
  <c r="O84" i="1"/>
  <c r="H77" i="1"/>
  <c r="O78" i="1"/>
  <c r="N83" i="1"/>
  <c r="K82" i="1"/>
  <c r="L76" i="1"/>
  <c r="K76" i="1"/>
  <c r="E81" i="1"/>
  <c r="M79" i="1"/>
  <c r="H84" i="1"/>
  <c r="D82" i="1"/>
  <c r="O83" i="1"/>
  <c r="H83" i="1"/>
  <c r="M85" i="1"/>
  <c r="M77" i="1"/>
  <c r="G76" i="1"/>
  <c r="G75" i="1"/>
  <c r="F83" i="1"/>
  <c r="M78" i="1"/>
  <c r="L75" i="1"/>
  <c r="I80" i="1"/>
  <c r="I82" i="1"/>
  <c r="D81" i="1"/>
  <c r="G74" i="1"/>
  <c r="E61" i="1"/>
  <c r="F65" i="1"/>
  <c r="F60" i="1"/>
  <c r="D66" i="1"/>
  <c r="I77" i="1"/>
  <c r="J80" i="1"/>
  <c r="F66" i="1"/>
  <c r="K58" i="1"/>
  <c r="G78" i="1"/>
  <c r="E80" i="1"/>
  <c r="O82" i="1"/>
  <c r="K84" i="1"/>
  <c r="L81" i="1"/>
  <c r="M59" i="1"/>
  <c r="I79" i="1"/>
  <c r="F77" i="1"/>
  <c r="L77" i="1"/>
  <c r="J63" i="1"/>
  <c r="F64" i="1"/>
  <c r="E66" i="1"/>
  <c r="L59" i="1"/>
  <c r="K64" i="1"/>
  <c r="E76" i="1"/>
  <c r="J82" i="1"/>
  <c r="D67" i="1"/>
  <c r="O81" i="1"/>
  <c r="O62" i="1"/>
  <c r="D76" i="1"/>
  <c r="N62" i="1"/>
  <c r="L80" i="1"/>
  <c r="J62" i="1"/>
  <c r="F79" i="1"/>
  <c r="O75" i="1"/>
  <c r="K85" i="1"/>
  <c r="H67" i="1"/>
  <c r="H81" i="1"/>
  <c r="I61" i="1"/>
  <c r="L83" i="1"/>
  <c r="F62" i="1"/>
  <c r="N82" i="1"/>
  <c r="J59" i="1"/>
  <c r="K63" i="1"/>
  <c r="O65" i="1"/>
  <c r="O64" i="1"/>
  <c r="J60" i="1"/>
  <c r="M57" i="1"/>
  <c r="K62" i="1"/>
  <c r="F82" i="1"/>
  <c r="E75" i="1"/>
  <c r="M83" i="1"/>
  <c r="L82" i="1"/>
  <c r="O79" i="1"/>
  <c r="H79" i="1"/>
  <c r="E60" i="1"/>
  <c r="O59" i="1"/>
  <c r="G61" i="1"/>
  <c r="F57" i="1"/>
  <c r="I59" i="1"/>
  <c r="G81" i="1"/>
  <c r="E64" i="1"/>
  <c r="K68" i="1"/>
  <c r="O80" i="1"/>
  <c r="O85" i="1"/>
  <c r="K81" i="1"/>
  <c r="M84" i="1"/>
  <c r="M82" i="1"/>
  <c r="L79" i="1"/>
  <c r="I58" i="1"/>
  <c r="E58" i="1"/>
  <c r="E68" i="1"/>
  <c r="E83" i="1"/>
  <c r="L60" i="1"/>
  <c r="F81" i="1"/>
  <c r="F67" i="1"/>
  <c r="F80" i="1"/>
  <c r="K78" i="1"/>
  <c r="F78" i="1"/>
  <c r="I62" i="1"/>
  <c r="D83" i="1"/>
  <c r="D64" i="1"/>
  <c r="K65" i="1"/>
  <c r="E74" i="1"/>
  <c r="L63" i="1"/>
  <c r="K66" i="1"/>
  <c r="N66" i="1"/>
  <c r="M68" i="1"/>
  <c r="E65" i="1"/>
  <c r="L68" i="1"/>
  <c r="L78" i="1"/>
  <c r="L85" i="1"/>
  <c r="H64" i="1"/>
  <c r="O61" i="1"/>
  <c r="E59" i="1"/>
  <c r="G85" i="1"/>
  <c r="N84" i="1"/>
  <c r="F59" i="1"/>
  <c r="I76" i="1"/>
  <c r="H58" i="1"/>
  <c r="J83" i="1"/>
  <c r="H82" i="1"/>
  <c r="K59" i="1"/>
  <c r="G79" i="1"/>
  <c r="J66" i="1"/>
  <c r="J77" i="1"/>
  <c r="L84" i="1"/>
  <c r="L64" i="1"/>
  <c r="I63" i="1"/>
  <c r="J81" i="1"/>
  <c r="N58" i="1"/>
  <c r="M58" i="1"/>
  <c r="M81" i="1"/>
  <c r="F74" i="1"/>
  <c r="E67" i="1"/>
  <c r="O63" i="1"/>
  <c r="H80" i="1"/>
  <c r="N77" i="1"/>
  <c r="N76" i="1"/>
  <c r="E84" i="1"/>
  <c r="I68" i="1"/>
  <c r="G82" i="1"/>
  <c r="H76" i="1"/>
  <c r="O74" i="1"/>
  <c r="F75" i="1"/>
  <c r="J78" i="1"/>
  <c r="J76" i="1"/>
  <c r="K83" i="1"/>
  <c r="N74" i="1"/>
  <c r="E63" i="1"/>
  <c r="H68" i="1"/>
  <c r="E82" i="1"/>
  <c r="D85" i="1"/>
  <c r="N59" i="1"/>
  <c r="N63" i="1"/>
  <c r="E85" i="1"/>
  <c r="M61" i="1"/>
  <c r="E79" i="1"/>
  <c r="M66" i="1"/>
  <c r="L74" i="1"/>
  <c r="M80" i="1"/>
  <c r="I78" i="1"/>
  <c r="D79" i="1"/>
  <c r="G84" i="1"/>
  <c r="I67" i="1"/>
  <c r="I85" i="1"/>
  <c r="G77" i="1"/>
  <c r="H65" i="1"/>
  <c r="O57" i="1"/>
  <c r="N81" i="1"/>
  <c r="H78" i="1"/>
  <c r="K67" i="1"/>
  <c r="G80" i="1"/>
  <c r="M60" i="1"/>
  <c r="H62" i="1"/>
  <c r="F58" i="1"/>
  <c r="F63" i="1"/>
  <c r="L57" i="1"/>
  <c r="D62" i="1"/>
  <c r="L62" i="1"/>
  <c r="G58" i="1"/>
  <c r="N65" i="1"/>
  <c r="D80" i="1"/>
  <c r="I83" i="1"/>
  <c r="L65" i="1"/>
  <c r="D63" i="1"/>
  <c r="K80" i="1"/>
  <c r="J79" i="1"/>
  <c r="L66" i="1"/>
  <c r="I57" i="1"/>
  <c r="N61" i="1"/>
  <c r="J61" i="1"/>
  <c r="J64" i="1"/>
  <c r="N67" i="1"/>
  <c r="D65" i="1"/>
  <c r="L67" i="1"/>
  <c r="N75" i="1"/>
  <c r="M74" i="1"/>
  <c r="G68" i="1"/>
  <c r="D75" i="1"/>
  <c r="J58" i="1"/>
  <c r="D60" i="1"/>
  <c r="I60" i="1"/>
  <c r="E57" i="1"/>
  <c r="I64" i="1"/>
  <c r="D57" i="1"/>
  <c r="O67" i="1"/>
  <c r="H63" i="1"/>
  <c r="H60" i="1"/>
  <c r="N64" i="1"/>
  <c r="M64" i="1"/>
  <c r="N60" i="1"/>
  <c r="G60" i="1"/>
  <c r="K57" i="1"/>
  <c r="G67" i="1"/>
  <c r="O58" i="1"/>
  <c r="J68" i="1"/>
  <c r="M67" i="1"/>
  <c r="G57" i="1"/>
  <c r="M62" i="1"/>
  <c r="I65" i="1"/>
  <c r="M75" i="1"/>
  <c r="G59" i="1"/>
  <c r="K61" i="1"/>
  <c r="J65" i="1"/>
  <c r="K60" i="1"/>
  <c r="J67" i="1"/>
  <c r="G65" i="1"/>
  <c r="I66" i="1"/>
  <c r="L58" i="1"/>
  <c r="H74" i="1"/>
  <c r="G66" i="1"/>
  <c r="K74" i="1"/>
  <c r="G62" i="1"/>
  <c r="M63" i="1"/>
  <c r="F61" i="1"/>
  <c r="G63" i="1"/>
  <c r="J57" i="1"/>
  <c r="O60" i="1"/>
  <c r="I74" i="1"/>
  <c r="H61" i="1"/>
  <c r="N68" i="1"/>
  <c r="H66" i="1"/>
  <c r="H59" i="1"/>
  <c r="D68" i="1"/>
  <c r="D74" i="1"/>
  <c r="E62" i="1"/>
  <c r="H57" i="1"/>
  <c r="D61" i="1"/>
  <c r="O68" i="1"/>
  <c r="M65" i="1"/>
  <c r="D59" i="1"/>
  <c r="G64" i="1"/>
  <c r="O66" i="1"/>
  <c r="F68" i="1"/>
  <c r="N57" i="1"/>
  <c r="L61" i="1"/>
  <c r="N43" i="1"/>
  <c r="O39" i="1"/>
  <c r="D69" i="1"/>
  <c r="O86" i="1"/>
  <c r="Z24" i="1" a="1"/>
  <c r="Z24" i="1"/>
  <c r="Z25" i="1" a="1"/>
  <c r="Z25" i="1"/>
  <c r="AA27" i="1" a="1"/>
  <c r="AA27" i="1"/>
  <c r="AB29" i="1" a="1"/>
  <c r="AB29" i="1"/>
  <c r="AC31" i="1" a="1"/>
  <c r="AC31" i="1"/>
  <c r="AC32" i="1" a="1"/>
  <c r="AC32" i="1"/>
  <c r="AD33" i="1" a="1"/>
  <c r="AD33" i="1"/>
  <c r="S26" i="1" a="1"/>
  <c r="S26" i="1"/>
  <c r="Z23" i="1" a="1"/>
  <c r="Z23" i="1"/>
  <c r="AA25" i="1" a="1"/>
  <c r="AA25" i="1"/>
  <c r="AA26" i="1" a="1"/>
  <c r="AA26" i="1"/>
  <c r="AB28" i="1" a="1"/>
  <c r="AB28" i="1"/>
  <c r="AC30" i="1" a="1"/>
  <c r="AC30" i="1"/>
  <c r="T34" i="1" a="1"/>
  <c r="T34" i="1"/>
  <c r="AB25" i="1" a="1"/>
  <c r="AB25" i="1"/>
  <c r="AC28" i="1" a="1"/>
  <c r="AC28" i="1"/>
  <c r="T33" i="1" a="1"/>
  <c r="T33" i="1"/>
  <c r="T30" i="1" a="1"/>
  <c r="T30" i="1"/>
  <c r="AC23" i="1" a="1"/>
  <c r="AC23" i="1"/>
  <c r="U31" i="1" a="1"/>
  <c r="U31" i="1"/>
  <c r="W34" i="1" a="1"/>
  <c r="W34" i="1"/>
  <c r="U30" i="1" a="1"/>
  <c r="U30" i="1"/>
  <c r="S30" i="1" a="1"/>
  <c r="S30" i="1"/>
  <c r="T26" i="1" a="1"/>
  <c r="T26" i="1"/>
  <c r="V31" i="1" a="1"/>
  <c r="V31" i="1"/>
  <c r="U28" i="1" a="1"/>
  <c r="U28" i="1"/>
  <c r="S31" i="1" a="1"/>
  <c r="S31" i="1"/>
  <c r="X30" i="1" a="1"/>
  <c r="X30" i="1"/>
  <c r="V25" i="1" a="1"/>
  <c r="V25" i="1"/>
  <c r="V23" i="1" a="1"/>
  <c r="V23" i="1"/>
  <c r="Z32" i="1" a="1"/>
  <c r="Z32" i="1"/>
  <c r="Y29" i="1" a="1"/>
  <c r="Y29" i="1"/>
  <c r="S23" i="1" a="1"/>
  <c r="S23" i="1"/>
  <c r="Z30" i="1" a="1"/>
  <c r="Z30" i="1"/>
  <c r="Z28" i="1" a="1"/>
  <c r="Z28" i="1"/>
  <c r="S24" i="1" a="1"/>
  <c r="S24" i="1"/>
  <c r="AB32" i="1" a="1"/>
  <c r="AB32" i="1"/>
  <c r="Y24" i="1" a="1"/>
  <c r="Y24" i="1"/>
  <c r="AD32" i="1" a="1"/>
  <c r="AD32" i="1"/>
  <c r="T31" i="1" a="1"/>
  <c r="T31" i="1"/>
  <c r="AC24" i="1" a="1"/>
  <c r="AC24" i="1"/>
  <c r="U32" i="1" a="1"/>
  <c r="U32" i="1"/>
  <c r="T28" i="1" a="1"/>
  <c r="T28" i="1"/>
  <c r="X34" i="1" a="1"/>
  <c r="X34" i="1"/>
  <c r="AD23" i="1" a="1"/>
  <c r="AD23" i="1"/>
  <c r="W33" i="1" a="1"/>
  <c r="W33" i="1"/>
  <c r="V30" i="1" a="1"/>
  <c r="V30" i="1"/>
  <c r="V65" i="1"/>
  <c r="W28" i="1" a="1"/>
  <c r="W28" i="1"/>
  <c r="AB34" i="1" a="1"/>
  <c r="AB34" i="1"/>
  <c r="W27" i="1" a="1"/>
  <c r="W27" i="1"/>
  <c r="W25" i="1" a="1"/>
  <c r="W25" i="1"/>
  <c r="Z33" i="1" a="1"/>
  <c r="Z33" i="1"/>
  <c r="Z31" i="1" a="1"/>
  <c r="Z31" i="1"/>
  <c r="W23" i="1" a="1"/>
  <c r="W23" i="1"/>
  <c r="W58" i="1"/>
  <c r="AB33" i="1" a="1"/>
  <c r="AB33" i="1"/>
  <c r="AA31" i="1" a="1"/>
  <c r="AA31" i="1"/>
  <c r="X23" i="1" a="1"/>
  <c r="X23" i="1"/>
  <c r="X58" i="1"/>
  <c r="AC33" i="1" a="1"/>
  <c r="AC33" i="1"/>
  <c r="AB31" i="1" a="1"/>
  <c r="AB31" i="1"/>
  <c r="AA24" i="1" a="1"/>
  <c r="AA24" i="1"/>
  <c r="AB26" i="1" a="1"/>
  <c r="AB26" i="1"/>
  <c r="AB27" i="1" a="1"/>
  <c r="AB27" i="1"/>
  <c r="AC29" i="1" a="1"/>
  <c r="AC29" i="1"/>
  <c r="AD31" i="1" a="1"/>
  <c r="AD31" i="1"/>
  <c r="S27" i="1" a="1"/>
  <c r="S27" i="1"/>
  <c r="AA23" i="1" a="1"/>
  <c r="AA23" i="1"/>
  <c r="AC27" i="1" a="1"/>
  <c r="AC27" i="1"/>
  <c r="AD30" i="1" a="1"/>
  <c r="AD30" i="1"/>
  <c r="U34" i="1" a="1"/>
  <c r="U34" i="1"/>
  <c r="S29" i="1" a="1"/>
  <c r="S29" i="1"/>
  <c r="AD26" i="1" a="1"/>
  <c r="AD26" i="1"/>
  <c r="AD24" i="1" a="1"/>
  <c r="AD24" i="1"/>
  <c r="V32" i="1" a="1"/>
  <c r="V32" i="1"/>
  <c r="T27" i="1" a="1"/>
  <c r="T27" i="1"/>
  <c r="T25" i="1" a="1"/>
  <c r="T25" i="1"/>
  <c r="Y34" i="1" a="1"/>
  <c r="Y34" i="1"/>
  <c r="Y33" i="1" a="1"/>
  <c r="Y33" i="1"/>
  <c r="X29" i="1" a="1"/>
  <c r="X29" i="1"/>
  <c r="W26" i="1" a="1"/>
  <c r="W26" i="1"/>
  <c r="W61" i="1"/>
  <c r="W24" i="1" a="1"/>
  <c r="W24" i="1"/>
  <c r="X25" i="1" a="1"/>
  <c r="X25" i="1"/>
  <c r="X24" i="1" a="1"/>
  <c r="X24" i="1"/>
  <c r="AA29" i="1" a="1"/>
  <c r="AA29" i="1"/>
  <c r="AA28" i="1" a="1"/>
  <c r="AA28" i="1"/>
  <c r="S34" i="1" a="1"/>
  <c r="S34" i="1"/>
  <c r="AC34" i="1" a="1"/>
  <c r="AC34" i="1"/>
  <c r="AA33" i="1" a="1"/>
  <c r="AA33" i="1"/>
  <c r="Y28" i="1" a="1"/>
  <c r="Y28" i="1"/>
  <c r="Y26" i="1" a="1"/>
  <c r="Y26" i="1"/>
  <c r="Y61" i="1"/>
  <c r="AA30" i="1" a="1"/>
  <c r="AA30" i="1"/>
  <c r="S25" i="1" a="1"/>
  <c r="S25" i="1"/>
  <c r="AB30" i="1" a="1"/>
  <c r="AB30" i="1"/>
  <c r="AB24" i="1" a="1"/>
  <c r="AB24" i="1"/>
  <c r="AC26" i="1" a="1"/>
  <c r="AC26" i="1"/>
  <c r="AD28" i="1" a="1"/>
  <c r="AD28" i="1"/>
  <c r="AD29" i="1" a="1"/>
  <c r="AD29" i="1"/>
  <c r="T32" i="1" a="1"/>
  <c r="T32" i="1"/>
  <c r="V34" i="1" a="1"/>
  <c r="V34" i="1"/>
  <c r="S28" i="1" a="1"/>
  <c r="S28" i="1"/>
  <c r="AB23" i="1" a="1"/>
  <c r="AB23" i="1"/>
  <c r="AC25" i="1" a="1"/>
  <c r="AC25" i="1"/>
  <c r="AD27" i="1" a="1"/>
  <c r="AD27" i="1"/>
  <c r="U33" i="1" a="1"/>
  <c r="U33" i="1"/>
  <c r="T29" i="1" a="1"/>
  <c r="T29" i="1"/>
  <c r="AD25" i="1" a="1"/>
  <c r="AD25" i="1"/>
  <c r="V33" i="1" a="1"/>
  <c r="V33" i="1"/>
  <c r="U29" i="1" a="1"/>
  <c r="U29" i="1"/>
  <c r="U27" i="1" a="1"/>
  <c r="U27" i="1"/>
  <c r="U62" i="1"/>
  <c r="W32" i="1" a="1"/>
  <c r="W32" i="1"/>
  <c r="X31" i="1" a="1"/>
  <c r="X31" i="1"/>
  <c r="Y31" i="1" a="1"/>
  <c r="Y31" i="1"/>
  <c r="X28" i="1" a="1"/>
  <c r="X28" i="1"/>
  <c r="X27" i="1" a="1"/>
  <c r="X27" i="1"/>
  <c r="X62" i="1"/>
  <c r="Y27" i="1" a="1"/>
  <c r="Y27" i="1"/>
  <c r="Y62" i="1"/>
  <c r="Y25" i="1" a="1"/>
  <c r="Y25" i="1"/>
  <c r="Y60" i="1"/>
  <c r="Z26" i="1" a="1"/>
  <c r="Z26" i="1"/>
  <c r="Z61" i="1"/>
  <c r="T24" i="1" a="1"/>
  <c r="T24" i="1"/>
  <c r="T59" i="1"/>
  <c r="U26" i="1" a="1"/>
  <c r="U26" i="1"/>
  <c r="U61" i="1"/>
  <c r="V28" i="1" a="1"/>
  <c r="V28" i="1"/>
  <c r="V29" i="1" a="1"/>
  <c r="V29" i="1"/>
  <c r="W31" i="1" a="1"/>
  <c r="W31" i="1"/>
  <c r="X33" i="1" a="1"/>
  <c r="X33" i="1"/>
  <c r="Z34" i="1" a="1"/>
  <c r="Z34" i="1"/>
  <c r="S32" i="1" a="1"/>
  <c r="S32" i="1"/>
  <c r="T23" i="1" a="1"/>
  <c r="T23" i="1"/>
  <c r="U25" i="1" a="1"/>
  <c r="U25" i="1"/>
  <c r="V27" i="1" a="1"/>
  <c r="V27" i="1"/>
  <c r="V62" i="1"/>
  <c r="W29" i="1" a="1"/>
  <c r="W29" i="1"/>
  <c r="W30" i="1" a="1"/>
  <c r="W30" i="1"/>
  <c r="W65" i="1"/>
  <c r="X32" i="1" a="1"/>
  <c r="X32" i="1"/>
  <c r="AA34" i="1" a="1"/>
  <c r="AA34" i="1"/>
  <c r="S33" i="1" a="1"/>
  <c r="S33" i="1"/>
  <c r="U23" i="1" a="1"/>
  <c r="U23" i="1"/>
  <c r="U58" i="1"/>
  <c r="U24" i="1" a="1"/>
  <c r="U24" i="1"/>
  <c r="V26" i="1" a="1"/>
  <c r="V26" i="1"/>
  <c r="V61" i="1"/>
  <c r="V24" i="1" a="1"/>
  <c r="V24" i="1"/>
  <c r="Y32" i="1" a="1"/>
  <c r="Y32" i="1"/>
  <c r="Y30" i="1" a="1"/>
  <c r="Y30" i="1"/>
  <c r="X26" i="1" a="1"/>
  <c r="X26" i="1"/>
  <c r="X61" i="1"/>
  <c r="AD34" i="1" a="1"/>
  <c r="AD34" i="1"/>
  <c r="AA32" i="1" a="1"/>
  <c r="AA32" i="1"/>
  <c r="Z29" i="1" a="1"/>
  <c r="Z29" i="1"/>
  <c r="Z27" i="1" a="1"/>
  <c r="Z27" i="1"/>
  <c r="Y23" i="1" a="1"/>
  <c r="Y23" i="1"/>
  <c r="S4" i="1" a="1"/>
  <c r="S4" i="1"/>
  <c r="S76" i="1"/>
  <c r="AA4" i="1" a="1"/>
  <c r="AA4" i="1"/>
  <c r="AC5" i="1" a="1"/>
  <c r="AC5" i="1"/>
  <c r="AD6" i="1" a="1"/>
  <c r="AD6" i="1"/>
  <c r="AD78" i="1"/>
  <c r="AD95" i="1"/>
  <c r="W8" i="1" a="1"/>
  <c r="W8" i="1"/>
  <c r="Z9" i="1" a="1"/>
  <c r="Z9" i="1"/>
  <c r="Z81" i="1"/>
  <c r="AB10" i="1" a="1"/>
  <c r="AB10" i="1"/>
  <c r="AB82" i="1"/>
  <c r="T12" i="1" a="1"/>
  <c r="T12" i="1"/>
  <c r="V13" i="1" a="1"/>
  <c r="V13" i="1"/>
  <c r="Y14" i="1" a="1"/>
  <c r="Y14" i="1"/>
  <c r="Y86" i="1"/>
  <c r="S14" i="1" a="1"/>
  <c r="S14" i="1"/>
  <c r="S86" i="1"/>
  <c r="AD4" i="1" a="1"/>
  <c r="AD4" i="1"/>
  <c r="AC14" i="1" a="1"/>
  <c r="AC14" i="1"/>
  <c r="AC86" i="1"/>
  <c r="T5" i="1" a="1"/>
  <c r="T5" i="1"/>
  <c r="AB8" i="1" a="1"/>
  <c r="AB8" i="1"/>
  <c r="AB80" i="1"/>
  <c r="V5" i="1" a="1"/>
  <c r="V5" i="1"/>
  <c r="AC13" i="1" a="1"/>
  <c r="AC13" i="1"/>
  <c r="AC85" i="1"/>
  <c r="AD8" i="1" a="1"/>
  <c r="AD8" i="1"/>
  <c r="AD80" i="1"/>
  <c r="S8" i="1" a="1"/>
  <c r="S8" i="1"/>
  <c r="S80" i="1"/>
  <c r="Y6" i="1" a="1"/>
  <c r="Y6" i="1"/>
  <c r="U9" i="1" a="1"/>
  <c r="U9" i="1"/>
  <c r="T14" i="1" a="1"/>
  <c r="T14" i="1"/>
  <c r="X10" i="1" a="1"/>
  <c r="X10" i="1"/>
  <c r="W15" i="1" a="1"/>
  <c r="W15" i="1"/>
  <c r="W87" i="1"/>
  <c r="U14" i="1" a="1"/>
  <c r="U14" i="1"/>
  <c r="U86" i="1"/>
  <c r="AB6" i="1" a="1"/>
  <c r="AB6" i="1"/>
  <c r="S11" i="1" a="1"/>
  <c r="S11" i="1"/>
  <c r="S83" i="1"/>
  <c r="S100" i="1"/>
  <c r="T8" i="1" a="1"/>
  <c r="T8" i="1"/>
  <c r="AD5" i="1" a="1"/>
  <c r="AD5" i="1"/>
  <c r="AD77" i="1"/>
  <c r="AD94" i="1"/>
  <c r="U12" i="1" a="1"/>
  <c r="U12" i="1"/>
  <c r="W13" i="1" a="1"/>
  <c r="W13" i="1"/>
  <c r="W85" i="1"/>
  <c r="Z14" i="1" a="1"/>
  <c r="Z14" i="1"/>
  <c r="Z86" i="1"/>
  <c r="AA15" i="1" a="1"/>
  <c r="AA15" i="1"/>
  <c r="AA87" i="1"/>
  <c r="S15" i="1" a="1"/>
  <c r="S15" i="1"/>
  <c r="S87" i="1"/>
  <c r="AD15" i="1" a="1"/>
  <c r="AD15" i="1"/>
  <c r="AD87" i="1"/>
  <c r="AC9" i="1" a="1"/>
  <c r="AC9" i="1"/>
  <c r="AC81" i="1"/>
  <c r="AD9" i="1" a="1"/>
  <c r="AD9" i="1"/>
  <c r="AD81" i="1"/>
  <c r="T10" i="1" a="1"/>
  <c r="T10" i="1"/>
  <c r="S6" i="1" a="1"/>
  <c r="S6" i="1"/>
  <c r="S78" i="1"/>
  <c r="Z12" i="1" a="1"/>
  <c r="Z12" i="1"/>
  <c r="Z84" i="1"/>
  <c r="T4" i="1" a="1"/>
  <c r="T4" i="1"/>
  <c r="S7" i="1" a="1"/>
  <c r="S7" i="1"/>
  <c r="S79" i="1"/>
  <c r="V10" i="1" a="1"/>
  <c r="V10" i="1"/>
  <c r="T9" i="1" a="1"/>
  <c r="T9" i="1"/>
  <c r="S9" i="1" a="1"/>
  <c r="S9" i="1"/>
  <c r="S81" i="1"/>
  <c r="AB7" i="1" a="1"/>
  <c r="AB7" i="1"/>
  <c r="AB79" i="1"/>
  <c r="X4" i="1" a="1"/>
  <c r="X4" i="1"/>
  <c r="AA11" i="1" a="1"/>
  <c r="AA11" i="1"/>
  <c r="AA83" i="1"/>
  <c r="X15" i="1" a="1"/>
  <c r="X15" i="1"/>
  <c r="X87" i="1"/>
  <c r="AD7" i="1" a="1"/>
  <c r="AD7" i="1"/>
  <c r="AD79" i="1"/>
  <c r="Z5" i="1" a="1"/>
  <c r="Z5" i="1"/>
  <c r="AB4" i="1" a="1"/>
  <c r="AB4" i="1"/>
  <c r="T7" i="1" a="1"/>
  <c r="T7" i="1"/>
  <c r="X8" i="1" a="1"/>
  <c r="X8" i="1"/>
  <c r="AA9" i="1" a="1"/>
  <c r="AA9" i="1"/>
  <c r="AA81" i="1"/>
  <c r="AC10" i="1" a="1"/>
  <c r="AC10" i="1"/>
  <c r="AC82" i="1"/>
  <c r="X13" i="1" a="1"/>
  <c r="X13" i="1"/>
  <c r="X85" i="1"/>
  <c r="AA14" i="1" a="1"/>
  <c r="AA14" i="1"/>
  <c r="AA86" i="1"/>
  <c r="AB15" i="1" a="1"/>
  <c r="AB15" i="1"/>
  <c r="AB87" i="1"/>
  <c r="Y8" i="1" a="1"/>
  <c r="Y8" i="1"/>
  <c r="T11" i="1" a="1"/>
  <c r="T11" i="1"/>
  <c r="AB14" i="1" a="1"/>
  <c r="AB14" i="1"/>
  <c r="AB86" i="1"/>
  <c r="W7" i="1" a="1"/>
  <c r="W7" i="1"/>
  <c r="Z13" i="1" a="1"/>
  <c r="Z13" i="1"/>
  <c r="Z85" i="1"/>
  <c r="Z8" i="1" a="1"/>
  <c r="Z8" i="1"/>
  <c r="U11" i="1" a="1"/>
  <c r="U11" i="1"/>
  <c r="S5" i="1" a="1"/>
  <c r="S5" i="1"/>
  <c r="S77" i="1"/>
  <c r="Y7" i="1" a="1"/>
  <c r="Y7" i="1"/>
  <c r="AA13" i="1" a="1"/>
  <c r="AA13" i="1"/>
  <c r="AA85" i="1"/>
  <c r="AA102" i="1"/>
  <c r="U5" i="1" a="1"/>
  <c r="U5" i="1"/>
  <c r="AD14" i="1" a="1"/>
  <c r="AD14" i="1"/>
  <c r="AD86" i="1"/>
  <c r="AD103" i="1"/>
  <c r="Z7" i="1" a="1"/>
  <c r="Z7" i="1"/>
  <c r="AB13" i="1" a="1"/>
  <c r="AB13" i="1"/>
  <c r="AB85" i="1"/>
  <c r="AC8" i="1" a="1"/>
  <c r="AC8" i="1"/>
  <c r="AC80" i="1"/>
  <c r="U10" i="1" a="1"/>
  <c r="U10" i="1"/>
  <c r="U4" i="1" a="1"/>
  <c r="U4" i="1"/>
  <c r="X11" i="1" a="1"/>
  <c r="X11" i="1"/>
  <c r="X83" i="1"/>
  <c r="AD13" i="1" a="1"/>
  <c r="AD13" i="1"/>
  <c r="AD85" i="1"/>
  <c r="V4" i="1" a="1"/>
  <c r="V4" i="1"/>
  <c r="Y11" i="1" a="1"/>
  <c r="Y11" i="1"/>
  <c r="Y83" i="1"/>
  <c r="W4" i="1" a="1"/>
  <c r="W4" i="1"/>
  <c r="AB12" i="1" a="1"/>
  <c r="AB12" i="1"/>
  <c r="AB84" i="1"/>
  <c r="X5" i="1" a="1"/>
  <c r="X5" i="1"/>
  <c r="V9" i="1" a="1"/>
  <c r="V9" i="1"/>
  <c r="S10" i="1" a="1"/>
  <c r="S10" i="1"/>
  <c r="S82" i="1"/>
  <c r="AC7" i="1" a="1"/>
  <c r="AC7" i="1"/>
  <c r="AC79" i="1"/>
  <c r="Y4" i="1" a="1"/>
  <c r="Y4" i="1"/>
  <c r="W9" i="1" a="1"/>
  <c r="W9" i="1"/>
  <c r="AC11" i="1" a="1"/>
  <c r="AC11" i="1"/>
  <c r="AC83" i="1"/>
  <c r="V14" i="1" a="1"/>
  <c r="V14" i="1"/>
  <c r="V86" i="1"/>
  <c r="V103" i="1"/>
  <c r="T6" i="1" a="1"/>
  <c r="T6" i="1"/>
  <c r="U7" i="1" a="1"/>
  <c r="U7" i="1"/>
  <c r="U44" i="1"/>
  <c r="AD10" i="1" a="1"/>
  <c r="AD10" i="1"/>
  <c r="AD82" i="1"/>
  <c r="AD99" i="1"/>
  <c r="V12" i="1" a="1"/>
  <c r="V12" i="1"/>
  <c r="AC4" i="1" a="1"/>
  <c r="AC4" i="1"/>
  <c r="V7" i="1" a="1"/>
  <c r="V7" i="1"/>
  <c r="AB9" i="1" a="1"/>
  <c r="AB9" i="1"/>
  <c r="AB81" i="1"/>
  <c r="Y13" i="1" a="1"/>
  <c r="Y13" i="1"/>
  <c r="Y85" i="1"/>
  <c r="AC15" i="1" a="1"/>
  <c r="AC15" i="1"/>
  <c r="AC87" i="1"/>
  <c r="U6" i="1" a="1"/>
  <c r="U6" i="1"/>
  <c r="W12" i="1" a="1"/>
  <c r="W12" i="1"/>
  <c r="X7" i="1" a="1"/>
  <c r="X7" i="1"/>
  <c r="X12" i="1" a="1"/>
  <c r="X12" i="1"/>
  <c r="X84" i="1"/>
  <c r="V6" i="1" a="1"/>
  <c r="V6" i="1"/>
  <c r="Y12" i="1" a="1"/>
  <c r="Y12" i="1"/>
  <c r="Y84" i="1"/>
  <c r="AA8" i="1" a="1"/>
  <c r="AA8" i="1"/>
  <c r="AA80" i="1"/>
  <c r="V11" i="1" a="1"/>
  <c r="V11" i="1"/>
  <c r="W6" i="1" a="1"/>
  <c r="W6" i="1"/>
  <c r="T15" i="1" a="1"/>
  <c r="T15" i="1"/>
  <c r="T87" i="1"/>
  <c r="X6" i="1" a="1"/>
  <c r="X6" i="1"/>
  <c r="W11" i="1" a="1"/>
  <c r="W11" i="1"/>
  <c r="AA7" i="1" a="1"/>
  <c r="AA7" i="1"/>
  <c r="AA12" i="1" a="1"/>
  <c r="AA12" i="1"/>
  <c r="AA84" i="1"/>
  <c r="AA101" i="1"/>
  <c r="U15" i="1" a="1"/>
  <c r="U15" i="1"/>
  <c r="U87" i="1"/>
  <c r="W5" i="1" a="1"/>
  <c r="W5" i="1"/>
  <c r="W10" i="1" a="1"/>
  <c r="W10" i="1"/>
  <c r="Z6" i="1" a="1"/>
  <c r="Z6" i="1"/>
  <c r="Z11" i="1" a="1"/>
  <c r="Z11" i="1"/>
  <c r="Z83" i="1"/>
  <c r="V15" i="1" a="1"/>
  <c r="V15" i="1"/>
  <c r="V87" i="1"/>
  <c r="AA6" i="1" a="1"/>
  <c r="AA6" i="1"/>
  <c r="AC12" i="1" a="1"/>
  <c r="AC12" i="1"/>
  <c r="AC84" i="1"/>
  <c r="AB11" i="1" a="1"/>
  <c r="AB11" i="1"/>
  <c r="AB83" i="1"/>
  <c r="Y5" i="1" a="1"/>
  <c r="Y5" i="1"/>
  <c r="Y10" i="1" a="1"/>
  <c r="Y10" i="1"/>
  <c r="Y82" i="1"/>
  <c r="Y99" i="1"/>
  <c r="AD12" i="1" a="1"/>
  <c r="AD12" i="1"/>
  <c r="AD84" i="1"/>
  <c r="AD101" i="1"/>
  <c r="Z10" i="1" a="1"/>
  <c r="Z10" i="1"/>
  <c r="Z82" i="1"/>
  <c r="Z99" i="1"/>
  <c r="Y15" i="1" a="1"/>
  <c r="Y15" i="1"/>
  <c r="Y87" i="1"/>
  <c r="AA10" i="1" a="1"/>
  <c r="AA10" i="1"/>
  <c r="AA82" i="1"/>
  <c r="V8" i="1" a="1"/>
  <c r="V8" i="1"/>
  <c r="AD11" i="1" a="1"/>
  <c r="AD11" i="1"/>
  <c r="AD83" i="1"/>
  <c r="T13" i="1" a="1"/>
  <c r="T13" i="1"/>
  <c r="W14" i="1" a="1"/>
  <c r="W14" i="1"/>
  <c r="W86" i="1"/>
  <c r="U8" i="1" a="1"/>
  <c r="U8" i="1"/>
  <c r="X9" i="1" a="1"/>
  <c r="X9" i="1"/>
  <c r="U13" i="1" a="1"/>
  <c r="U13" i="1"/>
  <c r="X14" i="1" a="1"/>
  <c r="X14" i="1"/>
  <c r="X86" i="1"/>
  <c r="Z15" i="1" a="1"/>
  <c r="Z15" i="1"/>
  <c r="Z87" i="1"/>
  <c r="Z4" i="1" a="1"/>
  <c r="Z4" i="1"/>
  <c r="S12" i="1" a="1"/>
  <c r="S12" i="1"/>
  <c r="S84" i="1"/>
  <c r="S13" i="1" a="1"/>
  <c r="S13" i="1"/>
  <c r="S85" i="1"/>
  <c r="S102" i="1"/>
  <c r="AA5" i="1" a="1"/>
  <c r="AA5" i="1"/>
  <c r="AB5" i="1" a="1"/>
  <c r="AB5" i="1"/>
  <c r="AC6" i="1" a="1"/>
  <c r="AC6" i="1"/>
  <c r="AC78" i="1"/>
  <c r="Y9" i="1" a="1"/>
  <c r="Y9" i="1"/>
  <c r="Y81" i="1"/>
  <c r="Y98" i="1"/>
  <c r="I86" i="1"/>
  <c r="L69" i="1"/>
  <c r="K86" i="1"/>
  <c r="J69" i="1"/>
  <c r="D86" i="1"/>
  <c r="M86" i="1"/>
  <c r="F86" i="1"/>
  <c r="G86" i="1"/>
  <c r="L86" i="1"/>
  <c r="O69" i="1"/>
  <c r="H86" i="1"/>
  <c r="H69" i="1"/>
  <c r="J86" i="1"/>
  <c r="G69" i="1"/>
  <c r="N86" i="1"/>
  <c r="F69" i="1"/>
  <c r="E86" i="1"/>
  <c r="K69" i="1"/>
  <c r="M69" i="1"/>
  <c r="N69" i="1"/>
  <c r="I69" i="1"/>
  <c r="E69" i="1"/>
  <c r="O43" i="1"/>
  <c r="P39" i="1"/>
  <c r="X103" i="1"/>
  <c r="T62" i="1"/>
  <c r="AD96" i="1"/>
  <c r="U103" i="1"/>
  <c r="U120" i="1"/>
  <c r="AC97" i="1"/>
  <c r="AC131" i="1"/>
  <c r="AA104" i="1"/>
  <c r="AA138" i="1"/>
  <c r="AA99" i="1"/>
  <c r="AA133" i="1"/>
  <c r="Y59" i="1"/>
  <c r="AD104" i="1"/>
  <c r="AD138" i="1"/>
  <c r="S103" i="1"/>
  <c r="S120" i="1"/>
  <c r="AD100" i="1"/>
  <c r="AD117" i="1"/>
  <c r="AB100" i="1"/>
  <c r="AB134" i="1"/>
  <c r="X104" i="1"/>
  <c r="X121" i="1"/>
  <c r="Z103" i="1"/>
  <c r="Z120" i="1"/>
  <c r="V59" i="1"/>
  <c r="AA98" i="1"/>
  <c r="AA132" i="1"/>
  <c r="AB99" i="1"/>
  <c r="AB133" i="1"/>
  <c r="W103" i="1"/>
  <c r="W137" i="1"/>
  <c r="AD97" i="1"/>
  <c r="AD131" i="1"/>
  <c r="AB97" i="1"/>
  <c r="AB131" i="1"/>
  <c r="T81" i="1"/>
  <c r="T98" i="1"/>
  <c r="T115" i="1"/>
  <c r="AB96" i="1"/>
  <c r="AB130" i="1"/>
  <c r="T82" i="1"/>
  <c r="U82" i="1"/>
  <c r="U99" i="1"/>
  <c r="T60" i="1"/>
  <c r="U104" i="1"/>
  <c r="U138" i="1"/>
  <c r="S104" i="1"/>
  <c r="S138" i="1"/>
  <c r="T65" i="1"/>
  <c r="AC101" i="1"/>
  <c r="AC118" i="1"/>
  <c r="AC100" i="1"/>
  <c r="AC134" i="1"/>
  <c r="AB102" i="1"/>
  <c r="AB136" i="1"/>
  <c r="T67" i="1"/>
  <c r="T68" i="1"/>
  <c r="W104" i="1"/>
  <c r="W121" i="1"/>
  <c r="AC95" i="1"/>
  <c r="AC129" i="1"/>
  <c r="W102" i="1"/>
  <c r="W136" i="1"/>
  <c r="AB60" i="1"/>
  <c r="AA100" i="1"/>
  <c r="AA134" i="1"/>
  <c r="Y101" i="1"/>
  <c r="Y118" i="1"/>
  <c r="Z102" i="1"/>
  <c r="Z119" i="1"/>
  <c r="V60" i="1"/>
  <c r="X101" i="1"/>
  <c r="X135" i="1"/>
  <c r="U60" i="1"/>
  <c r="Z58" i="1"/>
  <c r="X102" i="1"/>
  <c r="X136" i="1"/>
  <c r="S99" i="1"/>
  <c r="S133" i="1"/>
  <c r="AC58" i="1"/>
  <c r="U50" i="1"/>
  <c r="V49" i="1"/>
  <c r="T77" i="1"/>
  <c r="T94" i="1"/>
  <c r="T42" i="1"/>
  <c r="AA118" i="1"/>
  <c r="AA135" i="1"/>
  <c r="Z44" i="1"/>
  <c r="T43" i="1"/>
  <c r="T78" i="1"/>
  <c r="T95" i="1"/>
  <c r="X43" i="1"/>
  <c r="U49" i="1"/>
  <c r="V50" i="1"/>
  <c r="V85" i="1"/>
  <c r="V102" i="1"/>
  <c r="AB59" i="1"/>
  <c r="W43" i="1"/>
  <c r="W46" i="1"/>
  <c r="Y44" i="1"/>
  <c r="T45" i="1"/>
  <c r="T80" i="1"/>
  <c r="T97" i="1"/>
  <c r="T49" i="1"/>
  <c r="T84" i="1"/>
  <c r="T101" i="1"/>
  <c r="Y104" i="1"/>
  <c r="V48" i="1"/>
  <c r="Y41" i="1"/>
  <c r="S94" i="1"/>
  <c r="X41" i="1"/>
  <c r="S134" i="1"/>
  <c r="S117" i="1"/>
  <c r="AB116" i="1"/>
  <c r="W60" i="1"/>
  <c r="AA61" i="1"/>
  <c r="AE35" i="1" a="1"/>
  <c r="AE35" i="1"/>
  <c r="Z133" i="1"/>
  <c r="Z116" i="1"/>
  <c r="AA97" i="1"/>
  <c r="AC96" i="1"/>
  <c r="U48" i="1"/>
  <c r="AB43" i="1"/>
  <c r="Z98" i="1"/>
  <c r="W62" i="1"/>
  <c r="V58" i="1"/>
  <c r="AA60" i="1"/>
  <c r="AC41" i="1"/>
  <c r="AD133" i="1"/>
  <c r="AD116" i="1"/>
  <c r="AC103" i="1"/>
  <c r="AB41" i="1"/>
  <c r="W48" i="1"/>
  <c r="U42" i="1"/>
  <c r="U59" i="1"/>
  <c r="T104" i="1"/>
  <c r="AD111" i="1"/>
  <c r="AD128" i="1"/>
  <c r="Y133" i="1"/>
  <c r="Y116" i="1"/>
  <c r="AC112" i="1"/>
  <c r="X42" i="1"/>
  <c r="X47" i="1"/>
  <c r="AB103" i="1"/>
  <c r="AA41" i="1"/>
  <c r="T48" i="1"/>
  <c r="T83" i="1"/>
  <c r="T100" i="1"/>
  <c r="S93" i="1"/>
  <c r="S110" i="1"/>
  <c r="AA43" i="1"/>
  <c r="Y45" i="1"/>
  <c r="Y43" i="1"/>
  <c r="S101" i="1"/>
  <c r="V41" i="1"/>
  <c r="S97" i="1"/>
  <c r="Z41" i="1"/>
  <c r="Z100" i="1"/>
  <c r="Y102" i="1"/>
  <c r="AD102" i="1"/>
  <c r="AA103" i="1"/>
  <c r="X59" i="1"/>
  <c r="U67" i="1"/>
  <c r="U65" i="1"/>
  <c r="Z60" i="1"/>
  <c r="W42" i="1"/>
  <c r="U45" i="1"/>
  <c r="T44" i="1"/>
  <c r="T79" i="1"/>
  <c r="AD41" i="1"/>
  <c r="T85" i="1"/>
  <c r="T102" i="1"/>
  <c r="T50" i="1"/>
  <c r="Z42" i="1"/>
  <c r="V137" i="1"/>
  <c r="V120" i="1"/>
  <c r="Y103" i="1"/>
  <c r="V45" i="1"/>
  <c r="S98" i="1"/>
  <c r="V43" i="1"/>
  <c r="T132" i="1"/>
  <c r="V47" i="1"/>
  <c r="X44" i="1"/>
  <c r="S96" i="1"/>
  <c r="AA58" i="1"/>
  <c r="W49" i="1"/>
  <c r="W84" i="1"/>
  <c r="W101" i="1"/>
  <c r="T41" i="1"/>
  <c r="T76" i="1"/>
  <c r="T93" i="1"/>
  <c r="T58" i="1"/>
  <c r="U43" i="1"/>
  <c r="Z101" i="1"/>
  <c r="AC104" i="1"/>
  <c r="S95" i="1"/>
  <c r="Z43" i="1"/>
  <c r="AB98" i="1"/>
  <c r="X100" i="1"/>
  <c r="AD98" i="1"/>
  <c r="AC102" i="1"/>
  <c r="X60" i="1"/>
  <c r="AC59" i="1"/>
  <c r="Z59" i="1"/>
  <c r="U47" i="1"/>
  <c r="X45" i="1"/>
  <c r="AA44" i="1"/>
  <c r="AD120" i="1"/>
  <c r="AD137" i="1"/>
  <c r="AD130" i="1"/>
  <c r="AD113" i="1"/>
  <c r="AA119" i="1"/>
  <c r="AA136" i="1"/>
  <c r="AD135" i="1"/>
  <c r="AD118" i="1"/>
  <c r="Z45" i="1"/>
  <c r="W45" i="1"/>
  <c r="Y132" i="1"/>
  <c r="Y115" i="1"/>
  <c r="AD129" i="1"/>
  <c r="AD112" i="1"/>
  <c r="Y42" i="1"/>
  <c r="W44" i="1"/>
  <c r="AC42" i="1"/>
  <c r="AB42" i="1"/>
  <c r="AB101" i="1"/>
  <c r="T86" i="1"/>
  <c r="T103" i="1"/>
  <c r="T51" i="1"/>
  <c r="AA42" i="1"/>
  <c r="W41" i="1"/>
  <c r="AD58" i="1"/>
  <c r="S136" i="1"/>
  <c r="S119" i="1"/>
  <c r="Y100" i="1"/>
  <c r="Y58" i="1"/>
  <c r="T61" i="1"/>
  <c r="V104" i="1"/>
  <c r="AB104" i="1"/>
  <c r="Z62" i="1"/>
  <c r="Z104" i="1"/>
  <c r="X120" i="1"/>
  <c r="X137" i="1"/>
  <c r="W47" i="1"/>
  <c r="V44" i="1"/>
  <c r="U41" i="1"/>
  <c r="AC99" i="1"/>
  <c r="AC98" i="1"/>
  <c r="V42" i="1"/>
  <c r="AB58" i="1"/>
  <c r="W59" i="1"/>
  <c r="AA59" i="1"/>
  <c r="P43" i="1"/>
  <c r="T99" i="1"/>
  <c r="AA121" i="1"/>
  <c r="AC114" i="1"/>
  <c r="AA116" i="1"/>
  <c r="Z137" i="1"/>
  <c r="U137" i="1"/>
  <c r="X138" i="1"/>
  <c r="Z136" i="1"/>
  <c r="AA115" i="1"/>
  <c r="AD121" i="1"/>
  <c r="U121" i="1"/>
  <c r="X71" i="1"/>
  <c r="W120" i="1"/>
  <c r="W119" i="1"/>
  <c r="AD134" i="1"/>
  <c r="S137" i="1"/>
  <c r="AD114" i="1"/>
  <c r="S121" i="1"/>
  <c r="X119" i="1"/>
  <c r="AB114" i="1"/>
  <c r="AB117" i="1"/>
  <c r="U84" i="1"/>
  <c r="U101" i="1"/>
  <c r="U118" i="1"/>
  <c r="U81" i="1"/>
  <c r="U98" i="1"/>
  <c r="U115" i="1"/>
  <c r="AB113" i="1"/>
  <c r="AC117" i="1"/>
  <c r="U80" i="1"/>
  <c r="U97" i="1"/>
  <c r="U131" i="1"/>
  <c r="AB119" i="1"/>
  <c r="AC70" i="1"/>
  <c r="X118" i="1"/>
  <c r="W138" i="1"/>
  <c r="Z70" i="1"/>
  <c r="AC71" i="1"/>
  <c r="W70" i="1"/>
  <c r="X70" i="1"/>
  <c r="V82" i="1"/>
  <c r="AC135" i="1"/>
  <c r="Y135" i="1"/>
  <c r="S116" i="1"/>
  <c r="Z71" i="1"/>
  <c r="AA117" i="1"/>
  <c r="AC54" i="1"/>
  <c r="U77" i="1"/>
  <c r="U94" i="1"/>
  <c r="U128" i="1"/>
  <c r="W71" i="1"/>
  <c r="U71" i="1"/>
  <c r="U76" i="1"/>
  <c r="U93" i="1"/>
  <c r="U127" i="1"/>
  <c r="U83" i="1"/>
  <c r="U100" i="1"/>
  <c r="U134" i="1"/>
  <c r="AB70" i="1"/>
  <c r="U79" i="1"/>
  <c r="T96" i="1"/>
  <c r="AB120" i="1"/>
  <c r="AB137" i="1"/>
  <c r="U53" i="1"/>
  <c r="U54" i="1"/>
  <c r="T129" i="1"/>
  <c r="T112" i="1"/>
  <c r="T137" i="1"/>
  <c r="T120" i="1"/>
  <c r="AB135" i="1"/>
  <c r="AB118" i="1"/>
  <c r="U133" i="1"/>
  <c r="U116" i="1"/>
  <c r="T53" i="1"/>
  <c r="T54" i="1"/>
  <c r="V70" i="1"/>
  <c r="V71" i="1"/>
  <c r="W135" i="1"/>
  <c r="W118" i="1"/>
  <c r="X54" i="1"/>
  <c r="X53" i="1"/>
  <c r="Z138" i="1"/>
  <c r="Z121" i="1"/>
  <c r="Z115" i="1"/>
  <c r="Z132" i="1"/>
  <c r="S128" i="1"/>
  <c r="S111" i="1"/>
  <c r="AB71" i="1"/>
  <c r="AC53" i="1"/>
  <c r="AA70" i="1"/>
  <c r="AA71" i="1"/>
  <c r="U70" i="1"/>
  <c r="T138" i="1"/>
  <c r="T121" i="1"/>
  <c r="Z135" i="1"/>
  <c r="Z118" i="1"/>
  <c r="U78" i="1"/>
  <c r="S131" i="1"/>
  <c r="S114" i="1"/>
  <c r="S115" i="1"/>
  <c r="S132" i="1"/>
  <c r="T127" i="1"/>
  <c r="T110" i="1"/>
  <c r="S135" i="1"/>
  <c r="S118" i="1"/>
  <c r="AB138" i="1"/>
  <c r="AB121" i="1"/>
  <c r="S130" i="1"/>
  <c r="S113" i="1"/>
  <c r="Y137" i="1"/>
  <c r="Y120" i="1"/>
  <c r="Y54" i="1"/>
  <c r="Y53" i="1"/>
  <c r="T128" i="1"/>
  <c r="T111" i="1"/>
  <c r="V138" i="1"/>
  <c r="V121" i="1"/>
  <c r="AC119" i="1"/>
  <c r="AC136" i="1"/>
  <c r="AB54" i="1"/>
  <c r="AB53" i="1"/>
  <c r="V136" i="1"/>
  <c r="V119" i="1"/>
  <c r="AC133" i="1"/>
  <c r="AC116" i="1"/>
  <c r="AD132" i="1"/>
  <c r="AD115" i="1"/>
  <c r="Y71" i="1"/>
  <c r="Y70" i="1"/>
  <c r="S127" i="1"/>
  <c r="Y134" i="1"/>
  <c r="Y117" i="1"/>
  <c r="AC137" i="1"/>
  <c r="AC120" i="1"/>
  <c r="X134" i="1"/>
  <c r="X117" i="1"/>
  <c r="T133" i="1"/>
  <c r="T116" i="1"/>
  <c r="AC130" i="1"/>
  <c r="AC113" i="1"/>
  <c r="AB132" i="1"/>
  <c r="AB115" i="1"/>
  <c r="T136" i="1"/>
  <c r="T119" i="1"/>
  <c r="AA137" i="1"/>
  <c r="AA120" i="1"/>
  <c r="AA131" i="1"/>
  <c r="AA114" i="1"/>
  <c r="T131" i="1"/>
  <c r="T114" i="1"/>
  <c r="S129" i="1"/>
  <c r="S112" i="1"/>
  <c r="Z117" i="1"/>
  <c r="Z134" i="1"/>
  <c r="W53" i="1"/>
  <c r="W54" i="1"/>
  <c r="AC138" i="1"/>
  <c r="AC121" i="1"/>
  <c r="Z53" i="1"/>
  <c r="Z54" i="1"/>
  <c r="V53" i="1"/>
  <c r="V54" i="1"/>
  <c r="U135" i="1"/>
  <c r="AD70" i="1"/>
  <c r="AD71" i="1"/>
  <c r="AD119" i="1"/>
  <c r="AD136" i="1"/>
  <c r="U85" i="1"/>
  <c r="U102" i="1"/>
  <c r="AA54" i="1"/>
  <c r="AA53" i="1"/>
  <c r="T71" i="1"/>
  <c r="T70" i="1"/>
  <c r="Y138" i="1"/>
  <c r="Y121" i="1"/>
  <c r="T117" i="1"/>
  <c r="T134" i="1"/>
  <c r="T135" i="1"/>
  <c r="T118" i="1"/>
  <c r="AC115" i="1"/>
  <c r="AC132" i="1"/>
  <c r="AD54" i="1"/>
  <c r="AD53" i="1"/>
  <c r="Y136" i="1"/>
  <c r="Y119" i="1"/>
  <c r="U132" i="1"/>
  <c r="U117" i="1"/>
  <c r="V84" i="1"/>
  <c r="V101" i="1"/>
  <c r="V81" i="1"/>
  <c r="V80" i="1"/>
  <c r="W80" i="1"/>
  <c r="U114" i="1"/>
  <c r="V98" i="1"/>
  <c r="W81" i="1"/>
  <c r="U110" i="1"/>
  <c r="V99" i="1"/>
  <c r="W82" i="1"/>
  <c r="V77" i="1"/>
  <c r="V94" i="1"/>
  <c r="U111" i="1"/>
  <c r="V83" i="1"/>
  <c r="W83" i="1"/>
  <c r="W100" i="1"/>
  <c r="V76" i="1"/>
  <c r="V93" i="1"/>
  <c r="U136" i="1"/>
  <c r="U119" i="1"/>
  <c r="U95" i="1"/>
  <c r="V78" i="1"/>
  <c r="T130" i="1"/>
  <c r="T113" i="1"/>
  <c r="U96" i="1"/>
  <c r="V79" i="1"/>
  <c r="V97" i="1"/>
  <c r="V135" i="1"/>
  <c r="V118" i="1"/>
  <c r="W99" i="1"/>
  <c r="W133" i="1"/>
  <c r="X82" i="1"/>
  <c r="X99" i="1"/>
  <c r="W98" i="1"/>
  <c r="X81" i="1"/>
  <c r="X98" i="1"/>
  <c r="V115" i="1"/>
  <c r="V132" i="1"/>
  <c r="V100" i="1"/>
  <c r="V134" i="1"/>
  <c r="V133" i="1"/>
  <c r="V116" i="1"/>
  <c r="W77" i="1"/>
  <c r="W94" i="1"/>
  <c r="W76" i="1"/>
  <c r="W93" i="1"/>
  <c r="V96" i="1"/>
  <c r="W79" i="1"/>
  <c r="U130" i="1"/>
  <c r="U113" i="1"/>
  <c r="V128" i="1"/>
  <c r="V111" i="1"/>
  <c r="W134" i="1"/>
  <c r="W117" i="1"/>
  <c r="V95" i="1"/>
  <c r="W78" i="1"/>
  <c r="U129" i="1"/>
  <c r="U112" i="1"/>
  <c r="W97" i="1"/>
  <c r="X80" i="1"/>
  <c r="V131" i="1"/>
  <c r="V114" i="1"/>
  <c r="V127" i="1"/>
  <c r="V110" i="1"/>
  <c r="W116" i="1"/>
  <c r="X115" i="1"/>
  <c r="X132" i="1"/>
  <c r="W132" i="1"/>
  <c r="W115" i="1"/>
  <c r="V117" i="1"/>
  <c r="X133" i="1"/>
  <c r="X116" i="1"/>
  <c r="X76" i="1"/>
  <c r="Y76" i="1"/>
  <c r="X77" i="1"/>
  <c r="X94" i="1"/>
  <c r="W131" i="1"/>
  <c r="W114" i="1"/>
  <c r="W111" i="1"/>
  <c r="W128" i="1"/>
  <c r="V129" i="1"/>
  <c r="V112" i="1"/>
  <c r="X97" i="1"/>
  <c r="Y80" i="1"/>
  <c r="W95" i="1"/>
  <c r="X78" i="1"/>
  <c r="W96" i="1"/>
  <c r="X79" i="1"/>
  <c r="W127" i="1"/>
  <c r="W110" i="1"/>
  <c r="V130" i="1"/>
  <c r="V113" i="1"/>
  <c r="V19" i="16"/>
  <c r="Y77" i="1"/>
  <c r="X93" i="1"/>
  <c r="X127" i="1"/>
  <c r="X96" i="1"/>
  <c r="Y79" i="1"/>
  <c r="W130" i="1"/>
  <c r="W113" i="1"/>
  <c r="X95" i="1"/>
  <c r="Y78" i="1"/>
  <c r="W112" i="1"/>
  <c r="W129" i="1"/>
  <c r="Y94" i="1"/>
  <c r="Z77" i="1"/>
  <c r="X128" i="1"/>
  <c r="X111" i="1"/>
  <c r="Y97" i="1"/>
  <c r="Z80" i="1"/>
  <c r="Z97" i="1"/>
  <c r="X131" i="1"/>
  <c r="X114" i="1"/>
  <c r="Y93" i="1"/>
  <c r="Z76" i="1"/>
  <c r="X110" i="1"/>
  <c r="Y19" i="16"/>
  <c r="X129" i="1"/>
  <c r="X112" i="1"/>
  <c r="Z93" i="1"/>
  <c r="AA76" i="1"/>
  <c r="Y127" i="1"/>
  <c r="Y110" i="1"/>
  <c r="Z114" i="1"/>
  <c r="Z131" i="1"/>
  <c r="Y131" i="1"/>
  <c r="Y114" i="1"/>
  <c r="Z94" i="1"/>
  <c r="AA77" i="1"/>
  <c r="Y128" i="1"/>
  <c r="Y111" i="1"/>
  <c r="Y95" i="1"/>
  <c r="Z78" i="1"/>
  <c r="Y96" i="1"/>
  <c r="Z79" i="1"/>
  <c r="X130" i="1"/>
  <c r="X113" i="1"/>
  <c r="Z96" i="1"/>
  <c r="AA79" i="1"/>
  <c r="AA96" i="1"/>
  <c r="Z95" i="1"/>
  <c r="AA78" i="1"/>
  <c r="Y130" i="1"/>
  <c r="Y113" i="1"/>
  <c r="Y129" i="1"/>
  <c r="Y112" i="1"/>
  <c r="AA94" i="1"/>
  <c r="AB77" i="1"/>
  <c r="Z128" i="1"/>
  <c r="Z111" i="1"/>
  <c r="AA93" i="1"/>
  <c r="AB76" i="1"/>
  <c r="Z127" i="1"/>
  <c r="Z110" i="1"/>
  <c r="AA95" i="1"/>
  <c r="AB78" i="1"/>
  <c r="AB95" i="1"/>
  <c r="Z129" i="1"/>
  <c r="Z112" i="1"/>
  <c r="Z130" i="1"/>
  <c r="Z113" i="1"/>
  <c r="AB94" i="1"/>
  <c r="AC77" i="1"/>
  <c r="AC94" i="1"/>
  <c r="AA113" i="1"/>
  <c r="AA130" i="1"/>
  <c r="AB93" i="1"/>
  <c r="AC76" i="1"/>
  <c r="AA127" i="1"/>
  <c r="AA110" i="1"/>
  <c r="AA128" i="1"/>
  <c r="AA111" i="1"/>
  <c r="AB128" i="1"/>
  <c r="AB111" i="1"/>
  <c r="AB129" i="1"/>
  <c r="AB112" i="1"/>
  <c r="AA129" i="1"/>
  <c r="AA112" i="1"/>
  <c r="AC93" i="1"/>
  <c r="AD76" i="1"/>
  <c r="AD93" i="1"/>
  <c r="AB127" i="1"/>
  <c r="AB110" i="1"/>
  <c r="AC128" i="1"/>
  <c r="AC111" i="1"/>
  <c r="AD127" i="1"/>
  <c r="AD110" i="1"/>
  <c r="AC127" i="1"/>
  <c r="AC110" i="1"/>
  <c r="E16" i="17"/>
  <c r="E18" i="17"/>
  <c r="E19" i="17"/>
  <c r="F12" i="17"/>
  <c r="F16" i="17"/>
  <c r="F17" i="16"/>
  <c r="F34" i="16"/>
  <c r="F33" i="16"/>
  <c r="I32" i="16"/>
  <c r="J32" i="16"/>
  <c r="F21" i="16"/>
  <c r="I31" i="16"/>
  <c r="J31" i="16"/>
  <c r="J17" i="16"/>
  <c r="J21" i="16"/>
  <c r="F18" i="17"/>
  <c r="G12" i="17"/>
  <c r="G16" i="17"/>
  <c r="F19" i="17"/>
  <c r="G19" i="17"/>
  <c r="G18" i="17"/>
  <c r="H12" i="17"/>
  <c r="H16" i="17"/>
  <c r="J22" i="16"/>
  <c r="K17" i="16"/>
  <c r="G17" i="16"/>
  <c r="K31" i="16"/>
  <c r="F22" i="16"/>
  <c r="F28" i="16"/>
  <c r="F35" i="16"/>
  <c r="K34" i="16"/>
  <c r="K33" i="16"/>
  <c r="G34" i="16"/>
  <c r="G33" i="16"/>
  <c r="K32" i="16"/>
  <c r="G21" i="16"/>
  <c r="G39" i="16"/>
  <c r="K21" i="16"/>
  <c r="K39" i="16"/>
  <c r="O17" i="16"/>
  <c r="O21" i="16"/>
  <c r="N31" i="16"/>
  <c r="O31" i="16"/>
  <c r="N32" i="16"/>
  <c r="O32" i="16"/>
  <c r="I12" i="17"/>
  <c r="I16" i="17"/>
  <c r="H19" i="17"/>
  <c r="H18" i="17"/>
  <c r="J23" i="16"/>
  <c r="J28" i="16"/>
  <c r="P17" i="16"/>
  <c r="O22" i="16"/>
  <c r="K22" i="16"/>
  <c r="K28" i="16"/>
  <c r="L17" i="16"/>
  <c r="H17" i="16"/>
  <c r="G22" i="16"/>
  <c r="G28" i="16"/>
  <c r="J12" i="17"/>
  <c r="J16" i="17"/>
  <c r="I19" i="17"/>
  <c r="I18" i="17"/>
  <c r="G35" i="16"/>
  <c r="G37" i="16"/>
  <c r="G38" i="16"/>
  <c r="H34" i="16"/>
  <c r="H33" i="16"/>
  <c r="L34" i="16"/>
  <c r="L33" i="16"/>
  <c r="K35" i="16"/>
  <c r="K37" i="16"/>
  <c r="K38" i="16"/>
  <c r="P34" i="16"/>
  <c r="P33" i="16"/>
  <c r="K12" i="17"/>
  <c r="K16" i="17"/>
  <c r="J19" i="17"/>
  <c r="J18" i="17"/>
  <c r="O28" i="16"/>
  <c r="O23" i="16"/>
  <c r="L32" i="16"/>
  <c r="H21" i="16"/>
  <c r="H39" i="16"/>
  <c r="P32" i="16"/>
  <c r="L21" i="16"/>
  <c r="L39" i="16"/>
  <c r="P31" i="16"/>
  <c r="S32" i="16"/>
  <c r="T32" i="16"/>
  <c r="S31" i="16"/>
  <c r="T31" i="16"/>
  <c r="P21" i="16"/>
  <c r="P39" i="16"/>
  <c r="T17" i="16"/>
  <c r="T21" i="16"/>
  <c r="H22" i="16"/>
  <c r="H28" i="16"/>
  <c r="I17" i="16"/>
  <c r="T22" i="16"/>
  <c r="U17" i="16"/>
  <c r="P22" i="16"/>
  <c r="P28" i="16"/>
  <c r="Q17" i="16"/>
  <c r="L22" i="16"/>
  <c r="L28" i="16"/>
  <c r="M17" i="16"/>
  <c r="K18" i="17"/>
  <c r="L12" i="17"/>
  <c r="L16" i="17"/>
  <c r="K19" i="17"/>
  <c r="P35" i="16"/>
  <c r="P37" i="16"/>
  <c r="P38" i="16"/>
  <c r="M34" i="16"/>
  <c r="M33" i="16"/>
  <c r="L35" i="16"/>
  <c r="L37" i="16"/>
  <c r="L38" i="16"/>
  <c r="Q34" i="16"/>
  <c r="Q33" i="16"/>
  <c r="U34" i="16"/>
  <c r="U33" i="16"/>
  <c r="I34" i="16"/>
  <c r="I33" i="16"/>
  <c r="H35" i="16"/>
  <c r="H37" i="16"/>
  <c r="H38" i="16"/>
  <c r="T23" i="16"/>
  <c r="T28" i="16"/>
  <c r="U32" i="16"/>
  <c r="Q21" i="16"/>
  <c r="Q39" i="16"/>
  <c r="U31" i="16"/>
  <c r="L18" i="17"/>
  <c r="M12" i="17"/>
  <c r="M16" i="17"/>
  <c r="L19" i="17"/>
  <c r="M32" i="16"/>
  <c r="I21" i="16"/>
  <c r="M31" i="16"/>
  <c r="Q32" i="16"/>
  <c r="M21" i="16"/>
  <c r="M39" i="16"/>
  <c r="Q31" i="16"/>
  <c r="X32" i="16"/>
  <c r="Y32" i="16"/>
  <c r="X31" i="16"/>
  <c r="Y31" i="16"/>
  <c r="U21" i="16"/>
  <c r="U39" i="16"/>
  <c r="Y17" i="16"/>
  <c r="Y21" i="16"/>
  <c r="Y22" i="16"/>
  <c r="I22" i="16"/>
  <c r="I28" i="16"/>
  <c r="I39" i="16"/>
  <c r="Y28" i="16"/>
  <c r="Y23" i="16"/>
  <c r="V17" i="16"/>
  <c r="U22" i="16"/>
  <c r="U28" i="16"/>
  <c r="N17" i="16"/>
  <c r="M22" i="16"/>
  <c r="M28" i="16"/>
  <c r="M18" i="17"/>
  <c r="N12" i="17"/>
  <c r="N16" i="17"/>
  <c r="M19" i="17"/>
  <c r="Q22" i="16"/>
  <c r="Q28" i="16"/>
  <c r="R17" i="16"/>
  <c r="U35" i="16"/>
  <c r="U37" i="16"/>
  <c r="U38" i="16"/>
  <c r="V34" i="16"/>
  <c r="V33" i="16"/>
  <c r="M35" i="16"/>
  <c r="M37" i="16"/>
  <c r="M38" i="16"/>
  <c r="N34" i="16"/>
  <c r="N33" i="16"/>
  <c r="R34" i="16"/>
  <c r="R33" i="16"/>
  <c r="Q35" i="16"/>
  <c r="Q37" i="16"/>
  <c r="Q38" i="16"/>
  <c r="I35" i="16"/>
  <c r="I37" i="16"/>
  <c r="I38" i="16"/>
  <c r="R32" i="16"/>
  <c r="N21" i="16"/>
  <c r="R31" i="16"/>
  <c r="R21" i="16"/>
  <c r="R39" i="16"/>
  <c r="V31" i="16"/>
  <c r="V32" i="16"/>
  <c r="C2" i="15"/>
  <c r="Z32" i="16"/>
  <c r="V21" i="16"/>
  <c r="V39" i="16"/>
  <c r="Z31" i="16"/>
  <c r="N18" i="17"/>
  <c r="O12" i="17"/>
  <c r="O16" i="17"/>
  <c r="N19" i="17"/>
  <c r="N22" i="16"/>
  <c r="N28" i="16"/>
  <c r="N39" i="16"/>
  <c r="W17" i="16"/>
  <c r="V22" i="16"/>
  <c r="P12" i="17"/>
  <c r="P16" i="17"/>
  <c r="O18" i="17"/>
  <c r="O19" i="17"/>
  <c r="R22" i="16"/>
  <c r="S17" i="16"/>
  <c r="R28" i="16"/>
  <c r="V28" i="16"/>
  <c r="C5" i="15"/>
  <c r="R35" i="16"/>
  <c r="R37" i="16"/>
  <c r="R38" i="16"/>
  <c r="W34" i="16"/>
  <c r="W33" i="16"/>
  <c r="S34" i="16"/>
  <c r="S33" i="16"/>
  <c r="N35" i="16"/>
  <c r="N37" i="16"/>
  <c r="N38" i="16"/>
  <c r="Q12" i="17"/>
  <c r="Q16" i="17"/>
  <c r="P19" i="17"/>
  <c r="P18" i="17"/>
  <c r="S21" i="16"/>
  <c r="W31" i="16"/>
  <c r="W32" i="16"/>
  <c r="AA32" i="16"/>
  <c r="W21" i="16"/>
  <c r="W39" i="16"/>
  <c r="AA31" i="16"/>
  <c r="V38" i="16"/>
  <c r="V35" i="16"/>
  <c r="V37" i="16"/>
  <c r="S22" i="16"/>
  <c r="S39" i="16"/>
  <c r="R12" i="17"/>
  <c r="R16" i="17"/>
  <c r="Q19" i="17"/>
  <c r="Q18" i="17"/>
  <c r="X17" i="16"/>
  <c r="W22" i="16"/>
  <c r="W28" i="16"/>
  <c r="S28" i="16"/>
  <c r="V23" i="16"/>
  <c r="C3" i="15"/>
  <c r="W35" i="16"/>
  <c r="W37" i="16"/>
  <c r="W38" i="16"/>
  <c r="X33" i="16"/>
  <c r="X34" i="16"/>
  <c r="S35" i="16"/>
  <c r="S37" i="16"/>
  <c r="S38" i="16"/>
  <c r="AB32" i="16"/>
  <c r="X21" i="16"/>
  <c r="X39" i="16"/>
  <c r="AB31" i="16"/>
  <c r="R18" i="17"/>
  <c r="S12" i="17"/>
  <c r="S16" i="17"/>
  <c r="R19" i="17"/>
  <c r="X22" i="16"/>
  <c r="X28" i="16"/>
  <c r="Z17" i="16"/>
  <c r="S18" i="17"/>
  <c r="T12" i="17"/>
  <c r="T16" i="17"/>
  <c r="S19" i="17"/>
  <c r="Z34" i="16"/>
  <c r="Z33" i="16"/>
  <c r="X35" i="16"/>
  <c r="X37" i="16"/>
  <c r="X38" i="16"/>
  <c r="T18" i="17"/>
  <c r="U12" i="17"/>
  <c r="U16" i="17"/>
  <c r="T19" i="17"/>
  <c r="AD17" i="16"/>
  <c r="AD21" i="16"/>
  <c r="AD22" i="16"/>
  <c r="AC32" i="16"/>
  <c r="AD32" i="16"/>
  <c r="Z21" i="16"/>
  <c r="Z39" i="16"/>
  <c r="AC31" i="16"/>
  <c r="AD31" i="16"/>
  <c r="AD28" i="16"/>
  <c r="AD23" i="16"/>
  <c r="U18" i="17"/>
  <c r="V12" i="17"/>
  <c r="V16" i="17"/>
  <c r="U19" i="17"/>
  <c r="Z22" i="16"/>
  <c r="Z28" i="16"/>
  <c r="AA17" i="16"/>
  <c r="AA34" i="16"/>
  <c r="AA33" i="16"/>
  <c r="Z35" i="16"/>
  <c r="Z37" i="16"/>
  <c r="Z38" i="16"/>
  <c r="AA21" i="16"/>
  <c r="AA39" i="16"/>
  <c r="AE31" i="16"/>
  <c r="AE32" i="16"/>
  <c r="V18" i="17"/>
  <c r="W12" i="17"/>
  <c r="W16" i="17"/>
  <c r="V19" i="17"/>
  <c r="AA22" i="16"/>
  <c r="AA28" i="16"/>
  <c r="AB17" i="16"/>
  <c r="W19" i="17"/>
  <c r="X12" i="17"/>
  <c r="X16" i="17"/>
  <c r="W18" i="17"/>
  <c r="AB34" i="16"/>
  <c r="AB33" i="16"/>
  <c r="AA35" i="16"/>
  <c r="AA37" i="16"/>
  <c r="AA38" i="16"/>
  <c r="Y12" i="17"/>
  <c r="Y16" i="17"/>
  <c r="X19" i="17"/>
  <c r="X18" i="17"/>
  <c r="AF32" i="16"/>
  <c r="AB21" i="16"/>
  <c r="AB39" i="16"/>
  <c r="AF31" i="16"/>
  <c r="AB22" i="16"/>
  <c r="AB28" i="16"/>
  <c r="AC17" i="16"/>
  <c r="Z12" i="17"/>
  <c r="Z16" i="17"/>
  <c r="Y19" i="17"/>
  <c r="Y18" i="17"/>
  <c r="AC34" i="16"/>
  <c r="AC33" i="16"/>
  <c r="AB35" i="16"/>
  <c r="AB37" i="16"/>
  <c r="AB38" i="16"/>
  <c r="AA12" i="17"/>
  <c r="AA16" i="17"/>
  <c r="Z19" i="17"/>
  <c r="Z18" i="17"/>
  <c r="AG32" i="16"/>
  <c r="AC21" i="16"/>
  <c r="AC39" i="16"/>
  <c r="AG31" i="16"/>
  <c r="AE17" i="16"/>
  <c r="AC22" i="16"/>
  <c r="AC28" i="16"/>
  <c r="AA18" i="17"/>
  <c r="AB12" i="17"/>
  <c r="AB16" i="17"/>
  <c r="AA19" i="17"/>
  <c r="AC35" i="16"/>
  <c r="AC37" i="16"/>
  <c r="AC38" i="16"/>
  <c r="AE34" i="16"/>
  <c r="AE33" i="16"/>
  <c r="AB18" i="17"/>
  <c r="AC12" i="17"/>
  <c r="AC16" i="17"/>
  <c r="AB19" i="17"/>
  <c r="AH32" i="16"/>
  <c r="AI32" i="16"/>
  <c r="AH31" i="16"/>
  <c r="AI31" i="16"/>
  <c r="AE21" i="16"/>
  <c r="AE39" i="16"/>
  <c r="AI17" i="16"/>
  <c r="AI21" i="16"/>
  <c r="AI22" i="16"/>
  <c r="AI28" i="16"/>
  <c r="AI23" i="16"/>
  <c r="AC18" i="17"/>
  <c r="AD12" i="17"/>
  <c r="AD16" i="17"/>
  <c r="AC19" i="17"/>
  <c r="AF17" i="16"/>
  <c r="AE22" i="16"/>
  <c r="AE28" i="16"/>
  <c r="AE35" i="16"/>
  <c r="AE37" i="16"/>
  <c r="AE38" i="16"/>
  <c r="AF34" i="16"/>
  <c r="AF33" i="16"/>
  <c r="AJ32" i="16"/>
  <c r="AF21" i="16"/>
  <c r="AF39" i="16"/>
  <c r="AJ31" i="16"/>
  <c r="AD18" i="17"/>
  <c r="AE12" i="17"/>
  <c r="AE16" i="17"/>
  <c r="AD19" i="17"/>
  <c r="AF22" i="16"/>
  <c r="AF28" i="16"/>
  <c r="AG17" i="16"/>
  <c r="AF12" i="17"/>
  <c r="AF16" i="17"/>
  <c r="AE18" i="17"/>
  <c r="AE19" i="17"/>
  <c r="AG34" i="16"/>
  <c r="AG33" i="16"/>
  <c r="AF35" i="16"/>
  <c r="AF37" i="16"/>
  <c r="AF38" i="16"/>
  <c r="AK32" i="16"/>
  <c r="AG21" i="16"/>
  <c r="AG39" i="16"/>
  <c r="AK31" i="16"/>
  <c r="AG12" i="17"/>
  <c r="AG16" i="17"/>
  <c r="AF19" i="17"/>
  <c r="AF18" i="17"/>
  <c r="AH12" i="17"/>
  <c r="AH16" i="17"/>
  <c r="AG19" i="17"/>
  <c r="AG18" i="17"/>
  <c r="AG22" i="16"/>
  <c r="AG28" i="16"/>
  <c r="AH17" i="16"/>
  <c r="AH33" i="16"/>
  <c r="AH34" i="16"/>
  <c r="AG35" i="16"/>
  <c r="AG37" i="16"/>
  <c r="AG38" i="16"/>
  <c r="AL31" i="16"/>
  <c r="AH21" i="16"/>
  <c r="AH39" i="16"/>
  <c r="AL32" i="16"/>
  <c r="AH18" i="17"/>
  <c r="AI12" i="17"/>
  <c r="AI16" i="17"/>
  <c r="AH19" i="17"/>
  <c r="AH22" i="16"/>
  <c r="AH28" i="16"/>
  <c r="AJ17" i="16"/>
  <c r="AI18" i="17"/>
  <c r="AJ12" i="17"/>
  <c r="AJ16" i="17"/>
  <c r="AI19" i="17"/>
  <c r="AJ34" i="16"/>
  <c r="AJ33" i="16"/>
  <c r="AH35" i="16"/>
  <c r="AH37" i="16"/>
  <c r="AH38" i="16"/>
  <c r="AM31" i="16"/>
  <c r="AN31" i="16"/>
  <c r="AJ21" i="16"/>
  <c r="AJ39" i="16"/>
  <c r="AN17" i="16"/>
  <c r="AN21" i="16"/>
  <c r="AN22" i="16"/>
  <c r="AM32" i="16"/>
  <c r="AN32" i="16"/>
  <c r="AJ18" i="17"/>
  <c r="AK12" i="17"/>
  <c r="AK16" i="17"/>
  <c r="AJ19" i="17"/>
  <c r="AN28" i="16"/>
  <c r="AN23" i="16"/>
  <c r="AK18" i="17"/>
  <c r="AL12" i="17"/>
  <c r="AL16" i="17"/>
  <c r="AK19" i="17"/>
  <c r="AJ22" i="16"/>
  <c r="AJ28" i="16"/>
  <c r="AK17" i="16"/>
  <c r="AK34" i="16"/>
  <c r="AK33" i="16"/>
  <c r="AJ35" i="16"/>
  <c r="AJ37" i="16"/>
  <c r="AJ38" i="16"/>
  <c r="AK21" i="16"/>
  <c r="AK39" i="16"/>
  <c r="AL18" i="17"/>
  <c r="AM12" i="17"/>
  <c r="AM16" i="17"/>
  <c r="AL19" i="17"/>
  <c r="AN12" i="17"/>
  <c r="AN16" i="17"/>
  <c r="AM19" i="17"/>
  <c r="AM18" i="17"/>
  <c r="AL17" i="16"/>
  <c r="AK22" i="16"/>
  <c r="AK28" i="16"/>
  <c r="AK35" i="16"/>
  <c r="AK37" i="16"/>
  <c r="AK38" i="16"/>
  <c r="AL34" i="16"/>
  <c r="AL33" i="16"/>
  <c r="AL21" i="16"/>
  <c r="AL39" i="16"/>
  <c r="AO12" i="17"/>
  <c r="AO16" i="17"/>
  <c r="AN19" i="17"/>
  <c r="AN18" i="17"/>
  <c r="AM17" i="16"/>
  <c r="AL22" i="16"/>
  <c r="AL28" i="16"/>
  <c r="AP12" i="17"/>
  <c r="AP16" i="17"/>
  <c r="AO19" i="17"/>
  <c r="AO18" i="17"/>
  <c r="AL35" i="16"/>
  <c r="AL37" i="16"/>
  <c r="AL38" i="16"/>
  <c r="AM34" i="16"/>
  <c r="AM33" i="16"/>
  <c r="AQ12" i="17"/>
  <c r="AQ16" i="17"/>
  <c r="AP19" i="17"/>
  <c r="AP18" i="17"/>
  <c r="AM21" i="16"/>
  <c r="AM22" i="16"/>
  <c r="AM28" i="16"/>
  <c r="AM39" i="16"/>
  <c r="AQ18" i="17"/>
  <c r="AR12" i="17"/>
  <c r="AR16" i="17"/>
  <c r="AQ19" i="17"/>
  <c r="AM35" i="16"/>
  <c r="AM37" i="16"/>
  <c r="AM38" i="16"/>
  <c r="AR18" i="17"/>
  <c r="AS12" i="17"/>
  <c r="AS16" i="17"/>
  <c r="AR19" i="17"/>
  <c r="AS18" i="17"/>
  <c r="AT12" i="17"/>
  <c r="AT16" i="17"/>
  <c r="AS19" i="17"/>
  <c r="AT18" i="17"/>
  <c r="AU12" i="17"/>
  <c r="AU16" i="17"/>
  <c r="AT19" i="17"/>
  <c r="AU19" i="17"/>
  <c r="AU18" i="1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<sst xmlns="http://schemas.openxmlformats.org/spreadsheetml/2006/main" count="3125" uniqueCount="1981">
  <si>
    <t>Base</t>
  </si>
  <si>
    <t>New</t>
  </si>
  <si>
    <t>Expansion</t>
  </si>
  <si>
    <t>Churn</t>
  </si>
  <si>
    <t>Customer ID</t>
  </si>
  <si>
    <t>Pro Forma</t>
  </si>
  <si>
    <t>Total</t>
  </si>
  <si>
    <t>Annual Recurring Revenue Build (USD)</t>
  </si>
  <si>
    <t>Check</t>
  </si>
  <si>
    <t>Logo Build (number of customers)</t>
  </si>
  <si>
    <t>Customer retention</t>
  </si>
  <si>
    <t>Customer ARR</t>
  </si>
  <si>
    <t>Customer</t>
  </si>
  <si>
    <t>C-00001</t>
  </si>
  <si>
    <t>C-00002</t>
  </si>
  <si>
    <t>C-00003</t>
  </si>
  <si>
    <t>C-00004</t>
  </si>
  <si>
    <t>C-00005</t>
  </si>
  <si>
    <t>C-00006</t>
  </si>
  <si>
    <t>C-00007</t>
  </si>
  <si>
    <t>C-00008</t>
  </si>
  <si>
    <t>C-00009</t>
  </si>
  <si>
    <t>C-00010</t>
  </si>
  <si>
    <t>C-00011</t>
  </si>
  <si>
    <t>C-00012</t>
  </si>
  <si>
    <t>C-00013</t>
  </si>
  <si>
    <t>C-00014</t>
  </si>
  <si>
    <t>C-00015</t>
  </si>
  <si>
    <t>C-00016</t>
  </si>
  <si>
    <t>C-00017</t>
  </si>
  <si>
    <t>C-00018</t>
  </si>
  <si>
    <t>C-00019</t>
  </si>
  <si>
    <t>C-00020</t>
  </si>
  <si>
    <t>C-00021</t>
  </si>
  <si>
    <t>C-00022</t>
  </si>
  <si>
    <t>C-00023</t>
  </si>
  <si>
    <t>C-00024</t>
  </si>
  <si>
    <t>C-00025</t>
  </si>
  <si>
    <t>C-00026</t>
  </si>
  <si>
    <t>C-00027</t>
  </si>
  <si>
    <t>C-00028</t>
  </si>
  <si>
    <t>C-00029</t>
  </si>
  <si>
    <t>C-00030</t>
  </si>
  <si>
    <t>C-00031</t>
  </si>
  <si>
    <t>C-00032</t>
  </si>
  <si>
    <t>C-00033</t>
  </si>
  <si>
    <t>C-00034</t>
  </si>
  <si>
    <t>C-00035</t>
  </si>
  <si>
    <t>C-00036</t>
  </si>
  <si>
    <t>C-00037</t>
  </si>
  <si>
    <t>C-00038</t>
  </si>
  <si>
    <t>C-00039</t>
  </si>
  <si>
    <t>C-00040</t>
  </si>
  <si>
    <t>C-00041</t>
  </si>
  <si>
    <t>C-00042</t>
  </si>
  <si>
    <t>C-00043</t>
  </si>
  <si>
    <t>C-00044</t>
  </si>
  <si>
    <t>C-00045</t>
  </si>
  <si>
    <t>C-00046</t>
  </si>
  <si>
    <t>C-00047</t>
  </si>
  <si>
    <t>C-00048</t>
  </si>
  <si>
    <t>C-00049</t>
  </si>
  <si>
    <t>C-00050</t>
  </si>
  <si>
    <t>C-00051</t>
  </si>
  <si>
    <t>C-00052</t>
  </si>
  <si>
    <t>C-00053</t>
  </si>
  <si>
    <t>C-00054</t>
  </si>
  <si>
    <t>C-00055</t>
  </si>
  <si>
    <t>C-00056</t>
  </si>
  <si>
    <t>C-00057</t>
  </si>
  <si>
    <t>C-00058</t>
  </si>
  <si>
    <t>C-00059</t>
  </si>
  <si>
    <t>C-00060</t>
  </si>
  <si>
    <t>C-00061</t>
  </si>
  <si>
    <t>C-00062</t>
  </si>
  <si>
    <t>C-00063</t>
  </si>
  <si>
    <t>C-00064</t>
  </si>
  <si>
    <t>C-00065</t>
  </si>
  <si>
    <t>C-00066</t>
  </si>
  <si>
    <t>C-00067</t>
  </si>
  <si>
    <t>C-00068</t>
  </si>
  <si>
    <t>C-00069</t>
  </si>
  <si>
    <t>C-00070</t>
  </si>
  <si>
    <t>C-00071</t>
  </si>
  <si>
    <t>C-00072</t>
  </si>
  <si>
    <t>C-00073</t>
  </si>
  <si>
    <t>C-00074</t>
  </si>
  <si>
    <t>C-00075</t>
  </si>
  <si>
    <t>C-00076</t>
  </si>
  <si>
    <t>C-00077</t>
  </si>
  <si>
    <t>C-00078</t>
  </si>
  <si>
    <t>C-00079</t>
  </si>
  <si>
    <t>C-00080</t>
  </si>
  <si>
    <t>C-00081</t>
  </si>
  <si>
    <t>C-00082</t>
  </si>
  <si>
    <t>C-00083</t>
  </si>
  <si>
    <t>C-00084</t>
  </si>
  <si>
    <t>C-00085</t>
  </si>
  <si>
    <t>C-00086</t>
  </si>
  <si>
    <t>C-00087</t>
  </si>
  <si>
    <t>C-00088</t>
  </si>
  <si>
    <t>C-00089</t>
  </si>
  <si>
    <t>C-00090</t>
  </si>
  <si>
    <t>C-00091</t>
  </si>
  <si>
    <t>C-00092</t>
  </si>
  <si>
    <t>C-00093</t>
  </si>
  <si>
    <t>C-00094</t>
  </si>
  <si>
    <t>C-00095</t>
  </si>
  <si>
    <t>C-00096</t>
  </si>
  <si>
    <t>C-00097</t>
  </si>
  <si>
    <t>C-00098</t>
  </si>
  <si>
    <t>C-00099</t>
  </si>
  <si>
    <t>C-00100</t>
  </si>
  <si>
    <t>C-00101</t>
  </si>
  <si>
    <t>C-00102</t>
  </si>
  <si>
    <t>C-00103</t>
  </si>
  <si>
    <t>C-00104</t>
  </si>
  <si>
    <t>C-00105</t>
  </si>
  <si>
    <t>C-00106</t>
  </si>
  <si>
    <t>C-00107</t>
  </si>
  <si>
    <t>C-00108</t>
  </si>
  <si>
    <t>C-00109</t>
  </si>
  <si>
    <t>C-00110</t>
  </si>
  <si>
    <t>C-00111</t>
  </si>
  <si>
    <t>C-00112</t>
  </si>
  <si>
    <t>C-00113</t>
  </si>
  <si>
    <t>C-00114</t>
  </si>
  <si>
    <t>C-00115</t>
  </si>
  <si>
    <t>C-00116</t>
  </si>
  <si>
    <t>C-00117</t>
  </si>
  <si>
    <t>C-00118</t>
  </si>
  <si>
    <t>C-00119</t>
  </si>
  <si>
    <t>C-00120</t>
  </si>
  <si>
    <t>C-00121</t>
  </si>
  <si>
    <t>C-00122</t>
  </si>
  <si>
    <t>C-00123</t>
  </si>
  <si>
    <t>C-00124</t>
  </si>
  <si>
    <t>C-00125</t>
  </si>
  <si>
    <t>C-00126</t>
  </si>
  <si>
    <t>C-00127</t>
  </si>
  <si>
    <t>C-00128</t>
  </si>
  <si>
    <t>C-00129</t>
  </si>
  <si>
    <t>C-00130</t>
  </si>
  <si>
    <t>C-00131</t>
  </si>
  <si>
    <t>C-00132</t>
  </si>
  <si>
    <t>C-00133</t>
  </si>
  <si>
    <t>C-00134</t>
  </si>
  <si>
    <t>C-00135</t>
  </si>
  <si>
    <t>C-00136</t>
  </si>
  <si>
    <t>C-00137</t>
  </si>
  <si>
    <t>C-00138</t>
  </si>
  <si>
    <t>C-00139</t>
  </si>
  <si>
    <t>C-00140</t>
  </si>
  <si>
    <t>C-00141</t>
  </si>
  <si>
    <t>C-00142</t>
  </si>
  <si>
    <t>C-00143</t>
  </si>
  <si>
    <t>C-00144</t>
  </si>
  <si>
    <t>C-00145</t>
  </si>
  <si>
    <t>C-00146</t>
  </si>
  <si>
    <t>C-00147</t>
  </si>
  <si>
    <t>C-00148</t>
  </si>
  <si>
    <t>C-00149</t>
  </si>
  <si>
    <t>C-00150</t>
  </si>
  <si>
    <t>C-00151</t>
  </si>
  <si>
    <t>C-00152</t>
  </si>
  <si>
    <t>C-00153</t>
  </si>
  <si>
    <t>C-00154</t>
  </si>
  <si>
    <t>C-00155</t>
  </si>
  <si>
    <t>C-00156</t>
  </si>
  <si>
    <t>C-00157</t>
  </si>
  <si>
    <t>C-00158</t>
  </si>
  <si>
    <t>C-00159</t>
  </si>
  <si>
    <t>C-00160</t>
  </si>
  <si>
    <t>C-00161</t>
  </si>
  <si>
    <t>C-00162</t>
  </si>
  <si>
    <t>C-00163</t>
  </si>
  <si>
    <t>C-00164</t>
  </si>
  <si>
    <t>C-00165</t>
  </si>
  <si>
    <t>C-00166</t>
  </si>
  <si>
    <t>C-00167</t>
  </si>
  <si>
    <t>C-00168</t>
  </si>
  <si>
    <t>C-00169</t>
  </si>
  <si>
    <t>C-00170</t>
  </si>
  <si>
    <t>C-00171</t>
  </si>
  <si>
    <t>C-00172</t>
  </si>
  <si>
    <t>C-00173</t>
  </si>
  <si>
    <t>C-00174</t>
  </si>
  <si>
    <t>C-00175</t>
  </si>
  <si>
    <t>C-00176</t>
  </si>
  <si>
    <t>C-00177</t>
  </si>
  <si>
    <t>C-00178</t>
  </si>
  <si>
    <t>C-00179</t>
  </si>
  <si>
    <t>C-00180</t>
  </si>
  <si>
    <t>C-00181</t>
  </si>
  <si>
    <t>C-00182</t>
  </si>
  <si>
    <t>C-00183</t>
  </si>
  <si>
    <t>C-00184</t>
  </si>
  <si>
    <t>C-00185</t>
  </si>
  <si>
    <t>C-00186</t>
  </si>
  <si>
    <t>C-00187</t>
  </si>
  <si>
    <t>C-00188</t>
  </si>
  <si>
    <t>C-00189</t>
  </si>
  <si>
    <t>C-00190</t>
  </si>
  <si>
    <t>C-00191</t>
  </si>
  <si>
    <t>C-00192</t>
  </si>
  <si>
    <t>C-00193</t>
  </si>
  <si>
    <t>C-00194</t>
  </si>
  <si>
    <t>C-00195</t>
  </si>
  <si>
    <t>C-00196</t>
  </si>
  <si>
    <t>C-00197</t>
  </si>
  <si>
    <t>C-00198</t>
  </si>
  <si>
    <t>C-00199</t>
  </si>
  <si>
    <t>C-00200</t>
  </si>
  <si>
    <t>C-00201</t>
  </si>
  <si>
    <t>C-00202</t>
  </si>
  <si>
    <t>C-00203</t>
  </si>
  <si>
    <t>C-00204</t>
  </si>
  <si>
    <t>C-00205</t>
  </si>
  <si>
    <t>C-00206</t>
  </si>
  <si>
    <t>C-00207</t>
  </si>
  <si>
    <t>C-00208</t>
  </si>
  <si>
    <t>C-00209</t>
  </si>
  <si>
    <t>C-00210</t>
  </si>
  <si>
    <t>C-00211</t>
  </si>
  <si>
    <t>C-00212</t>
  </si>
  <si>
    <t>C-00213</t>
  </si>
  <si>
    <t>C-00214</t>
  </si>
  <si>
    <t>C-00215</t>
  </si>
  <si>
    <t>C-00216</t>
  </si>
  <si>
    <t>C-00217</t>
  </si>
  <si>
    <t>C-00218</t>
  </si>
  <si>
    <t>C-00219</t>
  </si>
  <si>
    <t>C-00220</t>
  </si>
  <si>
    <t>C-00221</t>
  </si>
  <si>
    <t>C-00222</t>
  </si>
  <si>
    <t>C-00223</t>
  </si>
  <si>
    <t>C-00224</t>
  </si>
  <si>
    <t>C-00225</t>
  </si>
  <si>
    <t>C-00226</t>
  </si>
  <si>
    <t>C-00227</t>
  </si>
  <si>
    <t>C-00228</t>
  </si>
  <si>
    <t>C-00229</t>
  </si>
  <si>
    <t>C-00230</t>
  </si>
  <si>
    <t>C-00231</t>
  </si>
  <si>
    <t>C-00232</t>
  </si>
  <si>
    <t>C-00233</t>
  </si>
  <si>
    <t>C-00234</t>
  </si>
  <si>
    <t>C-00235</t>
  </si>
  <si>
    <t>C-00236</t>
  </si>
  <si>
    <t>C-00237</t>
  </si>
  <si>
    <t>C-00238</t>
  </si>
  <si>
    <t>C-00239</t>
  </si>
  <si>
    <t>C-00240</t>
  </si>
  <si>
    <t>C-00241</t>
  </si>
  <si>
    <t>C-00242</t>
  </si>
  <si>
    <t>C-00243</t>
  </si>
  <si>
    <t>C-00244</t>
  </si>
  <si>
    <t>C-00245</t>
  </si>
  <si>
    <t>C-00246</t>
  </si>
  <si>
    <t>C-00247</t>
  </si>
  <si>
    <t>C-00248</t>
  </si>
  <si>
    <t>C-00249</t>
  </si>
  <si>
    <t>C-00250</t>
  </si>
  <si>
    <t>C-00251</t>
  </si>
  <si>
    <t>C-00252</t>
  </si>
  <si>
    <t>C-00253</t>
  </si>
  <si>
    <t>C-00254</t>
  </si>
  <si>
    <t>C-00255</t>
  </si>
  <si>
    <t>C-00256</t>
  </si>
  <si>
    <t>C-00257</t>
  </si>
  <si>
    <t>C-00258</t>
  </si>
  <si>
    <t>C-00259</t>
  </si>
  <si>
    <t>C-00260</t>
  </si>
  <si>
    <t>C-00261</t>
  </si>
  <si>
    <t>C-00262</t>
  </si>
  <si>
    <t>C-00263</t>
  </si>
  <si>
    <t>C-00264</t>
  </si>
  <si>
    <t>C-00265</t>
  </si>
  <si>
    <t>C-00266</t>
  </si>
  <si>
    <t>C-00267</t>
  </si>
  <si>
    <t>C-00268</t>
  </si>
  <si>
    <t>C-00269</t>
  </si>
  <si>
    <t>C-00270</t>
  </si>
  <si>
    <t>C-00271</t>
  </si>
  <si>
    <t>C-00272</t>
  </si>
  <si>
    <t>C-00273</t>
  </si>
  <si>
    <t>C-00274</t>
  </si>
  <si>
    <t>C-00275</t>
  </si>
  <si>
    <t>C-00276</t>
  </si>
  <si>
    <t>C-00277</t>
  </si>
  <si>
    <t>C-00278</t>
  </si>
  <si>
    <t>C-00279</t>
  </si>
  <si>
    <t>C-00280</t>
  </si>
  <si>
    <t>C-00281</t>
  </si>
  <si>
    <t>C-00282</t>
  </si>
  <si>
    <t>C-00283</t>
  </si>
  <si>
    <t>C-00284</t>
  </si>
  <si>
    <t>C-00285</t>
  </si>
  <si>
    <t>C-00286</t>
  </si>
  <si>
    <t>C-00287</t>
  </si>
  <si>
    <t>C-00288</t>
  </si>
  <si>
    <t>C-00289</t>
  </si>
  <si>
    <t>C-00290</t>
  </si>
  <si>
    <t>C-00291</t>
  </si>
  <si>
    <t>C-00292</t>
  </si>
  <si>
    <t>C-00293</t>
  </si>
  <si>
    <t>C-00294</t>
  </si>
  <si>
    <t>C-00295</t>
  </si>
  <si>
    <t>C-00296</t>
  </si>
  <si>
    <t>C-00297</t>
  </si>
  <si>
    <t>C-00298</t>
  </si>
  <si>
    <t>C-00299</t>
  </si>
  <si>
    <t>C-00300</t>
  </si>
  <si>
    <t>C-00301</t>
  </si>
  <si>
    <t>C-00302</t>
  </si>
  <si>
    <t>C-00303</t>
  </si>
  <si>
    <t>C-00304</t>
  </si>
  <si>
    <t>C-00305</t>
  </si>
  <si>
    <t>C-00306</t>
  </si>
  <si>
    <t>C-00307</t>
  </si>
  <si>
    <t>C-00308</t>
  </si>
  <si>
    <t>C-00309</t>
  </si>
  <si>
    <t>C-00310</t>
  </si>
  <si>
    <t>C-00311</t>
  </si>
  <si>
    <t>C-00312</t>
  </si>
  <si>
    <t>C-00313</t>
  </si>
  <si>
    <t>C-00314</t>
  </si>
  <si>
    <t>C-00315</t>
  </si>
  <si>
    <t>C-00316</t>
  </si>
  <si>
    <t>C-00317</t>
  </si>
  <si>
    <t>C-00318</t>
  </si>
  <si>
    <t>C-00319</t>
  </si>
  <si>
    <t>C-00320</t>
  </si>
  <si>
    <t>C-00321</t>
  </si>
  <si>
    <t>C-00322</t>
  </si>
  <si>
    <t>C-00323</t>
  </si>
  <si>
    <t>C-00324</t>
  </si>
  <si>
    <t>C-00325</t>
  </si>
  <si>
    <t>C-00326</t>
  </si>
  <si>
    <t>C-00327</t>
  </si>
  <si>
    <t>C-00328</t>
  </si>
  <si>
    <t>C-00329</t>
  </si>
  <si>
    <t>C-00330</t>
  </si>
  <si>
    <t>C-00331</t>
  </si>
  <si>
    <t>C-00332</t>
  </si>
  <si>
    <t>C-00334</t>
  </si>
  <si>
    <t>C-00335</t>
  </si>
  <si>
    <t>C-00336</t>
  </si>
  <si>
    <t>C-00337</t>
  </si>
  <si>
    <t>C-00338</t>
  </si>
  <si>
    <t>C-00339</t>
  </si>
  <si>
    <t>C-00340</t>
  </si>
  <si>
    <t>C-00341</t>
  </si>
  <si>
    <t>C-00342</t>
  </si>
  <si>
    <t>C-00343</t>
  </si>
  <si>
    <t>C-00344</t>
  </si>
  <si>
    <t>C-00345</t>
  </si>
  <si>
    <t>C-00346</t>
  </si>
  <si>
    <t>C-00347</t>
  </si>
  <si>
    <t>C-00348</t>
  </si>
  <si>
    <t>C-00349</t>
  </si>
  <si>
    <t>C-00350</t>
  </si>
  <si>
    <t>C-00351</t>
  </si>
  <si>
    <t>C-00352</t>
  </si>
  <si>
    <t>C-00353</t>
  </si>
  <si>
    <t>C-00354</t>
  </si>
  <si>
    <t>C-00355</t>
  </si>
  <si>
    <t>C-00356</t>
  </si>
  <si>
    <t>C-00357</t>
  </si>
  <si>
    <t>C-00333</t>
  </si>
  <si>
    <t>C-00358</t>
  </si>
  <si>
    <t>C-00359</t>
  </si>
  <si>
    <t>C-00360</t>
  </si>
  <si>
    <t>C-00361</t>
  </si>
  <si>
    <t>C-00362</t>
  </si>
  <si>
    <t>C-00363</t>
  </si>
  <si>
    <t>C-00364</t>
  </si>
  <si>
    <t>C-00365</t>
  </si>
  <si>
    <t>C-00366</t>
  </si>
  <si>
    <t>C-00367</t>
  </si>
  <si>
    <t>C-00368</t>
  </si>
  <si>
    <t>C-00369</t>
  </si>
  <si>
    <t>C-00370</t>
  </si>
  <si>
    <t>C-00371</t>
  </si>
  <si>
    <t>C-00372</t>
  </si>
  <si>
    <t>C-00373</t>
  </si>
  <si>
    <t>C-00374</t>
  </si>
  <si>
    <t>C-00375</t>
  </si>
  <si>
    <t>C-00376</t>
  </si>
  <si>
    <t>C-00377</t>
  </si>
  <si>
    <t>C-00378</t>
  </si>
  <si>
    <t>C-00379</t>
  </si>
  <si>
    <t>C-00380</t>
  </si>
  <si>
    <t>C-00381</t>
  </si>
  <si>
    <t>C-00382</t>
  </si>
  <si>
    <t>C-00383</t>
  </si>
  <si>
    <t>C-00384</t>
  </si>
  <si>
    <t>C-00385</t>
  </si>
  <si>
    <t>C-00397</t>
  </si>
  <si>
    <t>C-00393</t>
  </si>
  <si>
    <t>C-00386</t>
  </si>
  <si>
    <t>C-00387</t>
  </si>
  <si>
    <t>C-00388</t>
  </si>
  <si>
    <t>C-00389</t>
  </si>
  <si>
    <t>C-00390</t>
  </si>
  <si>
    <t>C-00391</t>
  </si>
  <si>
    <t>C-00392</t>
  </si>
  <si>
    <t>C-00394</t>
  </si>
  <si>
    <t>C-00395</t>
  </si>
  <si>
    <t>C-00396</t>
  </si>
  <si>
    <t>C-00398</t>
  </si>
  <si>
    <t>C-00399</t>
  </si>
  <si>
    <t>C-00400</t>
  </si>
  <si>
    <t>C-00401</t>
  </si>
  <si>
    <t>C-00403</t>
  </si>
  <si>
    <t>C-00404</t>
  </si>
  <si>
    <t>C-00405</t>
  </si>
  <si>
    <t>C-00406</t>
  </si>
  <si>
    <t>C-00407</t>
  </si>
  <si>
    <t>C-00408</t>
  </si>
  <si>
    <t>C-00409</t>
  </si>
  <si>
    <t>C-00410</t>
  </si>
  <si>
    <t>C-00411</t>
  </si>
  <si>
    <t>C-00402</t>
  </si>
  <si>
    <t>C-00422</t>
  </si>
  <si>
    <t>C-00415</t>
  </si>
  <si>
    <t>C-00427</t>
  </si>
  <si>
    <t>C-00416</t>
  </si>
  <si>
    <t>C-00417</t>
  </si>
  <si>
    <t>C-00413</t>
  </si>
  <si>
    <t>C-00425</t>
  </si>
  <si>
    <t>C-00418</t>
  </si>
  <si>
    <t>C-00414</t>
  </si>
  <si>
    <t>C-00419</t>
  </si>
  <si>
    <t>C-00430</t>
  </si>
  <si>
    <t>C-00421</t>
  </si>
  <si>
    <t>C-00428</t>
  </si>
  <si>
    <t>C-00423</t>
  </si>
  <si>
    <t>C-00412</t>
  </si>
  <si>
    <t>C-00424</t>
  </si>
  <si>
    <t>C-00429</t>
  </si>
  <si>
    <t>C-00426</t>
  </si>
  <si>
    <t>C-00420</t>
  </si>
  <si>
    <t>C-00433</t>
  </si>
  <si>
    <t>C-00431</t>
  </si>
  <si>
    <t>C-00432</t>
  </si>
  <si>
    <t>Cohort</t>
  </si>
  <si>
    <t>Months since the cohort initiation</t>
  </si>
  <si>
    <t>Cohort Retention</t>
  </si>
  <si>
    <t>Accumulated Revenue</t>
  </si>
  <si>
    <t>Gross margin</t>
  </si>
  <si>
    <t>CAC</t>
  </si>
  <si>
    <t/>
  </si>
  <si>
    <t>Revenue, month-over-month</t>
  </si>
  <si>
    <t>Cohorts - Revenue</t>
  </si>
  <si>
    <t>Cohorts - Customers</t>
  </si>
  <si>
    <t>Accum. gross profit/customer</t>
  </si>
  <si>
    <t>average value</t>
  </si>
  <si>
    <t>mediam value</t>
  </si>
  <si>
    <t>median value</t>
  </si>
  <si>
    <t>Start</t>
  </si>
  <si>
    <t>End</t>
  </si>
  <si>
    <t>Fiscal Year</t>
  </si>
  <si>
    <t>Fiscal Quarter</t>
  </si>
  <si>
    <t>Fiscal Month</t>
  </si>
  <si>
    <t>Projection Model (actuals unaudited) - FYE January</t>
  </si>
  <si>
    <t>Actual</t>
  </si>
  <si>
    <t>Forecast</t>
  </si>
  <si>
    <t>Key Metrics</t>
  </si>
  <si>
    <t>ARR Build</t>
  </si>
  <si>
    <t>Starting Core ARR</t>
  </si>
  <si>
    <t xml:space="preserve">   New</t>
  </si>
  <si>
    <t xml:space="preserve">   Expansion</t>
  </si>
  <si>
    <t xml:space="preserve">   Churn</t>
  </si>
  <si>
    <t xml:space="preserve">Ending Core ARR </t>
  </si>
  <si>
    <t>Total Ending ARR</t>
  </si>
  <si>
    <t xml:space="preserve">   % Growth (y/y)</t>
  </si>
  <si>
    <t>Logos</t>
  </si>
  <si>
    <t>New Logos</t>
  </si>
  <si>
    <t>ACV</t>
  </si>
  <si>
    <t>SaaS Metrics</t>
  </si>
  <si>
    <t>GRR (LTM)</t>
  </si>
  <si>
    <t>NRR (LTM)</t>
  </si>
  <si>
    <t>GRR (quarterly)</t>
  </si>
  <si>
    <t>NRR (quarterly)</t>
  </si>
  <si>
    <t>LTV</t>
  </si>
  <si>
    <t>LTV/CAC</t>
  </si>
  <si>
    <t>Magic Number</t>
  </si>
  <si>
    <t xml:space="preserve">SaaS Metrics </t>
  </si>
  <si>
    <t>Income Statement ($)</t>
  </si>
  <si>
    <t>Revenue</t>
  </si>
  <si>
    <t xml:space="preserve">   Subscription revenue</t>
  </si>
  <si>
    <t xml:space="preserve">   Other revenue</t>
  </si>
  <si>
    <t>Total revenue</t>
  </si>
  <si>
    <t>Cost of sales</t>
  </si>
  <si>
    <t xml:space="preserve">   Infrastructure</t>
  </si>
  <si>
    <t xml:space="preserve">   Customer experience</t>
  </si>
  <si>
    <t>Total cost of sales</t>
  </si>
  <si>
    <t>Gross profit</t>
  </si>
  <si>
    <t xml:space="preserve">   Gross margin %</t>
  </si>
  <si>
    <t>Operating expenses</t>
  </si>
  <si>
    <t xml:space="preserve">   R&amp;D</t>
  </si>
  <si>
    <t xml:space="preserve">   S&amp;M</t>
  </si>
  <si>
    <t xml:space="preserve">   G&amp;A</t>
  </si>
  <si>
    <t>Total operating expenses</t>
  </si>
  <si>
    <t>Operating profit</t>
  </si>
  <si>
    <t>Other income/(expense)</t>
  </si>
  <si>
    <t>Net income</t>
  </si>
  <si>
    <t>Balance Sheet ($)</t>
  </si>
  <si>
    <t>ASSETS</t>
  </si>
  <si>
    <t>Current assets</t>
  </si>
  <si>
    <t xml:space="preserve">   Cash &amp; equivalents</t>
  </si>
  <si>
    <t xml:space="preserve">   Accounts receivable</t>
  </si>
  <si>
    <t xml:space="preserve">   Other current assets</t>
  </si>
  <si>
    <t>Total current assets</t>
  </si>
  <si>
    <t>Net PP&amp;E</t>
  </si>
  <si>
    <t>Other assets</t>
  </si>
  <si>
    <t>TOTAL ASSETS</t>
  </si>
  <si>
    <t>LIABILITIES &amp; EQUITY</t>
  </si>
  <si>
    <t>Liabilities</t>
  </si>
  <si>
    <t xml:space="preserve">   Accounts payable</t>
  </si>
  <si>
    <t xml:space="preserve">   Deferred revenue</t>
  </si>
  <si>
    <t xml:space="preserve">   Other liabilities</t>
  </si>
  <si>
    <t>Total liabilities</t>
  </si>
  <si>
    <t>Equity</t>
  </si>
  <si>
    <t xml:space="preserve">   Preference capital</t>
  </si>
  <si>
    <t xml:space="preserve">   Common equity</t>
  </si>
  <si>
    <t xml:space="preserve">   Retained earnings</t>
  </si>
  <si>
    <t>Total equity</t>
  </si>
  <si>
    <t>TOTAL LIABILITIES &amp; EQUITY</t>
  </si>
  <si>
    <t>Statement of Cash Flows ($)</t>
  </si>
  <si>
    <t>Operating activities</t>
  </si>
  <si>
    <t>Adjustments to net income</t>
  </si>
  <si>
    <t xml:space="preserve">   Depreciation &amp; amortization</t>
  </si>
  <si>
    <t>Changes in operating assets and liabilities</t>
  </si>
  <si>
    <t xml:space="preserve">   Net working capital</t>
  </si>
  <si>
    <t xml:space="preserve">   Other assets and liabilities</t>
  </si>
  <si>
    <t>Operating cash flow</t>
  </si>
  <si>
    <t>Investing activities</t>
  </si>
  <si>
    <t xml:space="preserve">   Capex</t>
  </si>
  <si>
    <t>Investing cash flow</t>
  </si>
  <si>
    <t>Financing activities</t>
  </si>
  <si>
    <t xml:space="preserve">   Equity</t>
  </si>
  <si>
    <t>Financing cash flow</t>
  </si>
  <si>
    <t>Start cash &amp; equivalents</t>
  </si>
  <si>
    <t xml:space="preserve">   Net increase/(decrease) in cash</t>
  </si>
  <si>
    <t>End cash &amp; equivalents</t>
  </si>
  <si>
    <t>Headcount (FTEs)</t>
  </si>
  <si>
    <t>COGS</t>
  </si>
  <si>
    <t>Customer Success</t>
  </si>
  <si>
    <t>Professional Services</t>
  </si>
  <si>
    <t>Support</t>
  </si>
  <si>
    <t>R&amp;D</t>
  </si>
  <si>
    <t>Engineering</t>
  </si>
  <si>
    <t>Product</t>
  </si>
  <si>
    <t>UX</t>
  </si>
  <si>
    <t>S&amp;M</t>
  </si>
  <si>
    <t>Marketing</t>
  </si>
  <si>
    <t>Sales</t>
  </si>
  <si>
    <t>G&amp;A</t>
  </si>
  <si>
    <t>Exec</t>
  </si>
  <si>
    <t>Finance</t>
  </si>
  <si>
    <t>People</t>
  </si>
  <si>
    <t>Monthly ARR by Customer</t>
  </si>
  <si>
    <t>Core Start</t>
  </si>
  <si>
    <t>Core End</t>
  </si>
  <si>
    <t xml:space="preserve">   Non-Core</t>
  </si>
  <si>
    <t>Total End</t>
  </si>
  <si>
    <t>Logo Build</t>
  </si>
  <si>
    <t>Beginning of period</t>
  </si>
  <si>
    <t>End of period</t>
  </si>
  <si>
    <t>Accum. gross profit per customer / CAC</t>
  </si>
  <si>
    <t>Name</t>
  </si>
  <si>
    <t>Ticker</t>
  </si>
  <si>
    <t>Year</t>
  </si>
  <si>
    <t>EV/Rev</t>
  </si>
  <si>
    <t>IPO
Net Retention</t>
  </si>
  <si>
    <t>New Rev/S&amp;M</t>
  </si>
  <si>
    <t>YoY Growth</t>
  </si>
  <si>
    <t>Gross Margin</t>
  </si>
  <si>
    <t>Payback Period (years)</t>
  </si>
  <si>
    <t>1Year Prior Net Retention</t>
  </si>
  <si>
    <t>Gitlab</t>
  </si>
  <si>
    <t>GTLB</t>
  </si>
  <si>
    <t>Snowflake</t>
  </si>
  <si>
    <t>SNOW</t>
  </si>
  <si>
    <t>Blend Labs</t>
  </si>
  <si>
    <t>BLNO</t>
  </si>
  <si>
    <t>Doximity</t>
  </si>
  <si>
    <t>DOCS</t>
  </si>
  <si>
    <t>Datadog</t>
  </si>
  <si>
    <t>OOOG</t>
  </si>
  <si>
    <t>Crowdstrike</t>
  </si>
  <si>
    <t>CRWO</t>
  </si>
  <si>
    <t>UiPath</t>
  </si>
  <si>
    <t>PATH</t>
  </si>
  <si>
    <t>2U</t>
  </si>
  <si>
    <t>TWOU</t>
  </si>
  <si>
    <t xml:space="preserve"> </t>
  </si>
  <si>
    <t>Slack</t>
  </si>
  <si>
    <t>WORK</t>
  </si>
  <si>
    <t>Jfrog</t>
  </si>
  <si>
    <t>FROG</t>
  </si>
  <si>
    <t>Box, Inc.</t>
  </si>
  <si>
    <t>BOX</t>
  </si>
  <si>
    <t>Q2Holdings</t>
  </si>
  <si>
    <t>QTWO</t>
  </si>
  <si>
    <t>Alteryx Inc</t>
  </si>
  <si>
    <t>AYX</t>
  </si>
  <si>
    <t>PagerOuty</t>
  </si>
  <si>
    <t>PD</t>
  </si>
  <si>
    <t>SmartSheet</t>
  </si>
  <si>
    <t>SMAR</t>
  </si>
  <si>
    <t>OynaTrace</t>
  </si>
  <si>
    <t>DT</t>
  </si>
  <si>
    <t>Qualtrics</t>
  </si>
  <si>
    <t>XM</t>
  </si>
  <si>
    <t>QuaItrics</t>
  </si>
  <si>
    <t>Confluent</t>
  </si>
  <si>
    <t>CFLT</t>
  </si>
  <si>
    <t>DoubleVerify</t>
  </si>
  <si>
    <t>ov</t>
  </si>
  <si>
    <t>Braze</t>
  </si>
  <si>
    <t>BRZE</t>
  </si>
  <si>
    <t>Hashicorp</t>
  </si>
  <si>
    <t>HCP</t>
  </si>
  <si>
    <t>Zeta Global</t>
  </si>
  <si>
    <t>ZETA</t>
  </si>
  <si>
    <t>Sumo Logic</t>
  </si>
  <si>
    <t>SUMO</t>
  </si>
  <si>
    <t>Asana</t>
  </si>
  <si>
    <t>ASAN</t>
  </si>
  <si>
    <t>Okta</t>
  </si>
  <si>
    <t>OKTA</t>
  </si>
  <si>
    <t>Blackline</t>
  </si>
  <si>
    <t>BL</t>
  </si>
  <si>
    <t>Olo</t>
  </si>
  <si>
    <t>OLO</t>
  </si>
  <si>
    <t>MeridianLink</t>
  </si>
  <si>
    <t>MLNK</t>
  </si>
  <si>
    <t>Enfusion</t>
  </si>
  <si>
    <t>ENFN</t>
  </si>
  <si>
    <t>Datto</t>
  </si>
  <si>
    <t>MSP</t>
  </si>
  <si>
    <t>Yext</t>
  </si>
  <si>
    <t>YEXT</t>
  </si>
  <si>
    <t>Monday.com</t>
  </si>
  <si>
    <t>MNOY</t>
  </si>
  <si>
    <t>UserTesting</t>
  </si>
  <si>
    <t>USER</t>
  </si>
  <si>
    <t>Mulesoft</t>
  </si>
  <si>
    <t>MULE</t>
  </si>
  <si>
    <t>Alkami</t>
  </si>
  <si>
    <t>ALKT</t>
  </si>
  <si>
    <t>Procore</t>
  </si>
  <si>
    <t>PCOR</t>
  </si>
  <si>
    <t>12 1%</t>
  </si>
  <si>
    <t>SentinelOne</t>
  </si>
  <si>
    <t>s</t>
  </si>
  <si>
    <t>Pingldentity</t>
  </si>
  <si>
    <t>PING</t>
  </si>
  <si>
    <t>Amplitude</t>
  </si>
  <si>
    <t>AMPL</t>
  </si>
  <si>
    <t>Zscaler</t>
  </si>
  <si>
    <t>ZS</t>
  </si>
  <si>
    <t>Docusign</t>
  </si>
  <si>
    <t>DOCU</t>
  </si>
  <si>
    <t>Couchbase</t>
  </si>
  <si>
    <t>BASE</t>
  </si>
  <si>
    <t>Fresh Works</t>
  </si>
  <si>
    <t>FRSH</t>
  </si>
  <si>
    <t>Samsara</t>
  </si>
  <si>
    <t>IOT</t>
  </si>
  <si>
    <t>Workiva</t>
  </si>
  <si>
    <t>WK</t>
  </si>
  <si>
    <t>Cloudflare</t>
  </si>
  <si>
    <t>NET</t>
  </si>
  <si>
    <t>Marin Software,Inc.</t>
  </si>
  <si>
    <t>MRIN</t>
  </si>
  <si>
    <t>SEMrush</t>
  </si>
  <si>
    <t>SEMR</t>
  </si>
  <si>
    <t>Sprinklr</t>
  </si>
  <si>
    <t>CXM</t>
  </si>
  <si>
    <t>Informatica</t>
  </si>
  <si>
    <t>INFA</t>
  </si>
  <si>
    <t>BackBlaze</t>
  </si>
  <si>
    <t>BlZE</t>
  </si>
  <si>
    <t>Livongo</t>
  </si>
  <si>
    <t>LVGO</t>
  </si>
  <si>
    <t>---</t>
  </si>
  <si>
    <t>ForgeRock</t>
  </si>
  <si>
    <t>FORG</t>
  </si>
  <si>
    <t>Everbridge Inc</t>
  </si>
  <si>
    <t>EVBG</t>
  </si>
  <si>
    <t>Appian Corporation</t>
  </si>
  <si>
    <t>APPN</t>
  </si>
  <si>
    <t>Sendgrid</t>
  </si>
  <si>
    <t>SEND</t>
  </si>
  <si>
    <t>PubMatic</t>
  </si>
  <si>
    <t>PUBM</t>
  </si>
  <si>
    <t>Bill.com</t>
  </si>
  <si>
    <t>BILL</t>
  </si>
  <si>
    <t>zuora</t>
  </si>
  <si>
    <t>zuo</t>
  </si>
  <si>
    <t>Castlight Health,Inc.</t>
  </si>
  <si>
    <t>CSLT</t>
  </si>
  <si>
    <t>ZoomInfo</t>
  </si>
  <si>
    <t>ZM</t>
  </si>
  <si>
    <t>ON24</t>
  </si>
  <si>
    <t>ONTF</t>
  </si>
  <si>
    <t>PowerschoolHoldings</t>
  </si>
  <si>
    <t>PWSC</t>
  </si>
  <si>
    <t>Definitive Healthcare</t>
  </si>
  <si>
    <t>DH</t>
  </si>
  <si>
    <t>HealthCatalyst</t>
  </si>
  <si>
    <t>HCAT</t>
  </si>
  <si>
    <t>Bandwidth</t>
  </si>
  <si>
    <t>BAND</t>
  </si>
  <si>
    <t>Kaltura</t>
  </si>
  <si>
    <t>KLTR</t>
  </si>
  <si>
    <t>SproutSocial</t>
  </si>
  <si>
    <t>SPT</t>
  </si>
  <si>
    <t>Certara</t>
  </si>
  <si>
    <t>CERT</t>
  </si>
  <si>
    <t>avidxchange</t>
  </si>
  <si>
    <t>AVDX</t>
  </si>
  <si>
    <t>Xactly</t>
  </si>
  <si>
    <t>XTLY</t>
  </si>
  <si>
    <t>DigitalOcean</t>
  </si>
  <si>
    <t>DOCN</t>
  </si>
  <si>
    <t>Secureworks</t>
  </si>
  <si>
    <t>scwx</t>
  </si>
  <si>
    <t>Amber Road</t>
  </si>
  <si>
    <t>AMBR</t>
  </si>
  <si>
    <t>Weave</t>
  </si>
  <si>
    <t>WEAV</t>
  </si>
  <si>
    <t>Shopify</t>
  </si>
  <si>
    <t>SHOP</t>
  </si>
  <si>
    <t>Median</t>
  </si>
  <si>
    <t>1.0 years</t>
  </si>
  <si>
    <t>SimilarWeb</t>
  </si>
  <si>
    <t>SMWB</t>
  </si>
  <si>
    <t>Instructure</t>
  </si>
  <si>
    <t>INST</t>
  </si>
  <si>
    <t>Five9, Inc.</t>
  </si>
  <si>
    <t>FIVN</t>
  </si>
  <si>
    <t>Channel Advisors</t>
  </si>
  <si>
    <t>ECOM</t>
  </si>
  <si>
    <t>RingCentral,Inc.</t>
  </si>
  <si>
    <t>RNG</t>
  </si>
  <si>
    <t>Tabula Healthcare Services</t>
  </si>
  <si>
    <t>TRHC</t>
  </si>
  <si>
    <t>EverCommerce</t>
  </si>
  <si>
    <t>EVCM</t>
  </si>
  <si>
    <t>Fastly</t>
  </si>
  <si>
    <t>FSLY</t>
  </si>
  <si>
    <t>Expensify</t>
  </si>
  <si>
    <t>EXFY</t>
  </si>
  <si>
    <t>McAfee</t>
  </si>
  <si>
    <t>MCFE</t>
  </si>
  <si>
    <t>Cornerstone OnDemand, I</t>
  </si>
  <si>
    <t>nCSOD</t>
  </si>
  <si>
    <t>Benefitfocus,Inc.</t>
  </si>
  <si>
    <t>BNFT</t>
  </si>
  <si>
    <t>SurveyMonkey</t>
  </si>
  <si>
    <t>SVMK</t>
  </si>
  <si>
    <t>Paycor</t>
  </si>
  <si>
    <t>PYCR</t>
  </si>
  <si>
    <t>Brightcove</t>
  </si>
  <si>
    <t>BCOV</t>
  </si>
  <si>
    <t>HubSpot,Inc.</t>
  </si>
  <si>
    <t>HUBS</t>
  </si>
  <si>
    <t>Paylocity Holding</t>
  </si>
  <si>
    <t>PCTY</t>
  </si>
  <si>
    <t>Paycom Software</t>
  </si>
  <si>
    <t>PAYC</t>
  </si>
  <si>
    <t>Upland Software</t>
  </si>
  <si>
    <t>UPLD</t>
  </si>
  <si>
    <t>Oropbox</t>
  </si>
  <si>
    <t>DBX</t>
  </si>
  <si>
    <t>SquareSpace</t>
  </si>
  <si>
    <t>SQSP</t>
  </si>
  <si>
    <t>Source: TIKR and Blossom Ventures</t>
  </si>
  <si>
    <t>Publicly traded SaaS companies</t>
  </si>
  <si>
    <t>Companies</t>
  </si>
  <si>
    <t>Company Website</t>
  </si>
  <si>
    <t>Deal Size</t>
  </si>
  <si>
    <t>Series</t>
  </si>
  <si>
    <t>Description</t>
  </si>
  <si>
    <t>Deal Date</t>
  </si>
  <si>
    <t>Deal Type</t>
  </si>
  <si>
    <t>Pre-money Valuation</t>
  </si>
  <si>
    <t>Post Valuation</t>
  </si>
  <si>
    <t>Valuation/Revenue</t>
  </si>
  <si>
    <t>Investors</t>
  </si>
  <si>
    <t>Primary Industry Code</t>
  </si>
  <si>
    <t>PitchBook Link</t>
  </si>
  <si>
    <t>PlatformE</t>
  </si>
  <si>
    <t>www.platforme.com</t>
  </si>
  <si>
    <t>Series B</t>
  </si>
  <si>
    <t>Provider of supply chain production services intended to accelerate fashion's digital transformation and on-demand manufacturing. The company's services provide customizable products for various brands, creating numerous customization combinations to drastically reduce overproduction in fashion, enabling customers to shop for personalized products.</t>
  </si>
  <si>
    <t>Early Stage VC</t>
  </si>
  <si>
    <t>200M fund(Marco Fernandes), Allied Investors Group(Alia-Maria Abouchaar)</t>
  </si>
  <si>
    <t>Business/Productivity Software</t>
  </si>
  <si>
    <t>Testlio</t>
  </si>
  <si>
    <t>www.testlio.com</t>
  </si>
  <si>
    <t>Developer of a network testing platform designed to help transparently manage testing projects. The company's platform leverages a global network of expert testers, and robust client services and provide a suite of managed, burstable and remote software testing capabilities, enabling clients to release products with confidence.</t>
  </si>
  <si>
    <t>Later Stage VC</t>
  </si>
  <si>
    <t>Altos Ventures(Anthony Lee), Geekdom Fund(Don Douglas), Siena Secondary Fund, Spring Lake Equity Partners(Jeffery Williams), Vertex Ventures US(In Sik Rhee)</t>
  </si>
  <si>
    <t>Software Development Applications</t>
  </si>
  <si>
    <t>eSUB Construction Software</t>
  </si>
  <si>
    <t>www.esub.com</t>
  </si>
  <si>
    <t>Developer of a project management and document control software designed to perform proper construction management. The company's software is cloud-based, collects field data, manages site events, labor activities, material costs and workforce information as well as generates reports in real-time, enabling contractors to manage tasks, increase productivity and complete construction projects without a hassle.</t>
  </si>
  <si>
    <t>Blueprint Equity(Sheldon Lewis), Bobby Ocampo(Bobby Ocampo), Catalyst Investors, Revolution/ROTR(Bobby Ocampo), Sheldon Lewis(Sheldon Lewis)</t>
  </si>
  <si>
    <t>Verse (Business)</t>
  </si>
  <si>
    <t>verse.io</t>
  </si>
  <si>
    <t>Series A</t>
  </si>
  <si>
    <t>Developer of a lead conversion platform intended to turn new leads into sales-ready opportunities through artificial intelligence and human conversations. The company's platform focuses on engaging, qualifying, and converting inbound leads for marketing and sales teams, enabling clients to close the lead conversion gap by driving significantly increased revenue for the customers while giving their prospects.</t>
  </si>
  <si>
    <t>Burst Capital, David Stark(David Stark), Defy Partners Management(Trae Vassallo), Evolution, Fang Li(Fang Li), Freestyle Capital(Jenny Lefcourt), Moderne Ventures(Constance Freedman), Noah Pickholtz, OurCrowd, Silicon Valley Bank, Simplexity Venture Studio Fund(Thomas Broadhead), Wolf Bielas(Wolf Bielas)</t>
  </si>
  <si>
    <t>SHARE Mobility</t>
  </si>
  <si>
    <t>www.sharemobility.com</t>
  </si>
  <si>
    <t>Provider of transportation services intended to get employees to and fro from work. The company provides turnkey mobility-as-a-service to enterprise organizations, enabling brands and employers to offer transportation as an employee benefit that unlocks workforce recruitment, productivity, and retention.</t>
  </si>
  <si>
    <t>Employment Technology Fund, ETF@JFFLabs (Jobs for the Future), Iron Gate Capital(AJ Dye), JMAC, JobsOhio, Jumpstart Ventures, LOUD Capital, Renewal Funds(Geordan Hankinson), Seamless Capital, SustainVC(Justin Desrosiers), Trend Forward Capital, Venn Ventures</t>
  </si>
  <si>
    <t>Automotive</t>
  </si>
  <si>
    <t>Qubole</t>
  </si>
  <si>
    <t>www.qubole.com</t>
  </si>
  <si>
    <t>Series D</t>
  </si>
  <si>
    <t>Developer of a cloud-agnostic platform intended for machine learning, streaming analytics, data exploration and ad-hoc analytics. The company's platform provides end-to-end data lake services such as cloud infrastructure management, data management, continuous data engineering, analytics and machine learning with near-zero administration, enabling data engineers, data analysts and data scientists to collaborate on shared projects leveraging familiar tools such as an analytics workbench, notebooks, dashboards, APIs and third-party tools.</t>
  </si>
  <si>
    <t>Norwest Venture Partners(Rama Sekhar), TriplePoint Capital</t>
  </si>
  <si>
    <t>Nuvolo (Business/Productivity Software)</t>
  </si>
  <si>
    <t>www.nuvolo.com</t>
  </si>
  <si>
    <t>Developer of a connected workplace platform designed to help businesses optimize their facilities, staff, and assets. The company's platform provides OT security, automates workflows, and keeps inventory data accurate and reliable along with field service management and space management, enabling enterprises to manage their assets and improve operational efficiency.</t>
  </si>
  <si>
    <t>General Electric Ventures(Alex de Winter), Kaiser Permanente Ventures(Sam Brasch), New Enterprise Associates(Mohamad Makhzoumi), Revelation Partners(Michael Boggs), ServiceNow Ventures(Dominic Phillips)</t>
  </si>
  <si>
    <t>Smart</t>
  </si>
  <si>
    <t>www.smart.co</t>
  </si>
  <si>
    <t>Series C</t>
  </si>
  <si>
    <t>Operator of an automated enrollment pension platform intended to streamline and promote pensions, savings, and financial well-being. The company's platform allows clients to automate enrollment, manage pension funds and beneficiaries and offers financial literacy content, pension calculators, governance guides and interactive planning tools, enabling clients to protect the financial futures of their members.</t>
  </si>
  <si>
    <t>Barclays (LON: BARC)(Hannah Bernard), HSBC Bank UK, Link Administration Holdings (ASX: LNK)(John McMurtrie), Outrun Ventures</t>
  </si>
  <si>
    <t>Financial Software</t>
  </si>
  <si>
    <t>Casebook</t>
  </si>
  <si>
    <t>www.casebook.net</t>
  </si>
  <si>
    <t>Developer of human services software designed for person-centric and purpose-built agendas. The company's platform is built to serve the needs of those that serve others in a person-centric fashion and is always up to date with the recent rules and regulations in child welfare, juvenile justice, adult services, and other human services areas, enabling organizations to reimagine software, empower people and change their lives.</t>
  </si>
  <si>
    <t>Seed Round</t>
  </si>
  <si>
    <t>The Annie E. Casey Foundation</t>
  </si>
  <si>
    <t>Yubo (Social Platform)</t>
  </si>
  <si>
    <t>www.yubo.live</t>
  </si>
  <si>
    <t>Developer of a social media application designed for young people to discover new friends all around the world. The company's application lets the user build their own little community of friends where one can start conversations and create live video streams to hang out together, enabling young people to meet new people and create friendships outside their own domain.</t>
  </si>
  <si>
    <t>Alan Fung(Alan Fung), Alven Capital Partners(François Meteyer), Financière Saint James, Idinvest Partners, Iris Capital(Gil Doukhan), Lise Invest(Alexis Bonillo), Sweet Capital(Christian Dörffer), Village Global(Ben Casnocha)</t>
  </si>
  <si>
    <t>Social/Platform Software</t>
  </si>
  <si>
    <t>Kujiale (NAS: KOOL)</t>
  </si>
  <si>
    <t>www.kujiale.com</t>
  </si>
  <si>
    <t>Series D2</t>
  </si>
  <si>
    <t>Developer of an online home decoration, furnishing and design platform designed to quickly generate design sketches to decorate and furnish homes. The company's software uses ARVR technology to help users visualize interior design choices, enabling users to create better designs.</t>
  </si>
  <si>
    <t>GGV Capital, Hillhouse Capital Group, Shunwei Capital</t>
  </si>
  <si>
    <t>Multimedia and Design Software</t>
  </si>
  <si>
    <t>Rev.</t>
  </si>
  <si>
    <t>www.getrev.ai</t>
  </si>
  <si>
    <t>Developer of an artificial intelligence-based B2B marketing platform designed to scale, enhance and maximize lead generation efforts. The company's platform optimizes prospect targeting by using natural language processing and machine learning to gather and enrich that lead data, enabling enterprises to improve lead quality throughout their pipeline, take action faster, and drive revenue growth.</t>
  </si>
  <si>
    <t>42K Investimentos, Amos Ben-Meir(Amos Ben-Meir), Bin Lu(Bin Lu), Bow Capital, Dennis Chu(Dennis Chu), Harold Gottschalk(Harold Gottschalk), Rally Ventures, Rob Benson(Rob Benson), Sand Hill Angels</t>
  </si>
  <si>
    <t>Poq</t>
  </si>
  <si>
    <t>www.poqcommerce.com</t>
  </si>
  <si>
    <t>Operator of a Software-as-a-Service platform intended to help in creating functional and customized native applications for retailers. The company's platform uses a content management system to implement interactive content, push messaging, and offers modular customization features, enabling retailers to build applications that permit them to build their brands, sell products, deepen customer loyalty, and deliver pertinent content, communications, and rewards.</t>
  </si>
  <si>
    <t>Beringea(Eyal Malinger), Kreos Capital, Revolt Ventures(Meyer Bergman), Smedvig Capital(Jonathan Lerner)</t>
  </si>
  <si>
    <t>Navenio</t>
  </si>
  <si>
    <t>www.navenio.com</t>
  </si>
  <si>
    <t>Developer of an indoor location platform designed to help transform and improve the workforce efficiency in hospitals. The company's platform provides a mobile location-sensing technology that uses fingerprinting of the electromagnetic spectrum, sensor data, and indoor mapping, enabling clients to locate people without implementing, managing, or surveying any new building hardware.</t>
  </si>
  <si>
    <t>Big Pi Ventures, Future Planet Capital, G.K. Goh Holdings, Hostplus Superannuation Fund, IP Group (LON: IPO)(Mark Reilly), Oxford Investment Consultants(Christopher Hall), Oxford Science Enterprises(Matthew Arnold), QBN Capital(Philea Chim), University of Oxford</t>
  </si>
  <si>
    <t>Enterprise Systems (Healthcare)</t>
  </si>
  <si>
    <t>Zeelo</t>
  </si>
  <si>
    <t>www.zeelo.co</t>
  </si>
  <si>
    <t>Operator of a B2B bus sharing platform intended to provide transportation services for commuting and school runs. The company's SaaS platform uses data and technology to target areas of high private car usage in order to connect people to places via sustainable transport and works with local bus and coach fleets to operate at the times they are needed, enabling small and medium-sized coach and bus operators to digitalize their operations and be bookable via a mobile application.</t>
  </si>
  <si>
    <t>ETF Partners(Patrick Sheehan), InMotion Ventures(Sebastian Peck), Moulsford Capital, Neil Smith(Neil Smith)</t>
  </si>
  <si>
    <t>Road</t>
  </si>
  <si>
    <t>Auro Group</t>
  </si>
  <si>
    <t>www.auro.travel</t>
  </si>
  <si>
    <t>Operator of transport services company intended to provide vehicles for personal needs. The company provides comfortable car rides that are professional and discrete to individuals and also offers tailored solutions to companies and organizations and for special events through their online tool, enabling clients to get affordable and convenient transportation facilities.</t>
  </si>
  <si>
    <t>Felix Ruiz Hernandez(Felix Ruiz Hernandez), FJ Labs, GP Bullhound, Hugo Arevalo(Hugo Arevalo), José Antonio(José Antonio), Zaryn Dentzel(Zaryn Dentzel)</t>
  </si>
  <si>
    <t>MaaS Global</t>
  </si>
  <si>
    <t>www.whimapp.com</t>
  </si>
  <si>
    <t>Developer of a mobility application software designed to make transport efficient and smart. The company's application combines all existing transport services into a single mobile application on a single-ticket principle, enabling users to avail of personalized transport plans tailored to their needs</t>
  </si>
  <si>
    <t>Ferrovial (MAD: FER), Mitsui Fudosan (TKS: 8801), NordicNinja VC, Tesi, Vaudoise Assurances Holding (SWX: VAHN)</t>
  </si>
  <si>
    <t>ProdPerfect</t>
  </si>
  <si>
    <t>www.prodperfect.com</t>
  </si>
  <si>
    <t>Developer of an autonomous end-to-end regression testing platform designed for QA testing for web applications. The company's platform continuously identifies, creates, maintains, and evolves end-to-end test automation suites via data-driven, machine-led analysis of live user traffic, without coding, scripting, or maintenance, enabling web developers and engineering teams to focus on building the product and not building or maintaining tests.</t>
  </si>
  <si>
    <t>Acrew Capital, Anthos Capital(Paul Farr), Aviso Ventures, Eniac Ventures, Entrepreneurs Roundtable Accelerator, Fika Ventures(Tianxiang Zhuo), Remarkable Ventures Fund</t>
  </si>
  <si>
    <t>NuoDB</t>
  </si>
  <si>
    <t>www.nuodb.com</t>
  </si>
  <si>
    <t>Developer of a cloud-based database platform designed to serve large SaaS deployments in a rapidly developing distributed SQL market. The company's platform capitalizes on the competitive advantages of the cloud, with on-demand scalability, continuous availability and transactional consistency and is built for mission-critical applications, enabling customers to get a database that can maintain transactional consistency and integrity at a global scale.</t>
  </si>
  <si>
    <t>Aspenwood Ventures(Mitchell Kertzman), Dassault Systemes (PAR: DSY)(Thibault De Tersant), Longworth Venture Partners(Nilanjana Bhowmik), Morgenthaler Ventures(Gary Morgenthaler), Temenos (SWX: TEMN)</t>
  </si>
  <si>
    <t>Database Software</t>
  </si>
  <si>
    <t>FormAssembly</t>
  </si>
  <si>
    <t>www.formassembly.com</t>
  </si>
  <si>
    <t>Developer of a web form platform designed to make surveys and data collection convenient. The company offers easy-to-use, customizable templates that integrate with all major customer relationship management systems, enabling organizations to collect, share, and leverage data with ease.</t>
  </si>
  <si>
    <t>Level Equity(George McCulloch)</t>
  </si>
  <si>
    <t>Hongquan CRM (834218)</t>
  </si>
  <si>
    <t>www.hecom.cn</t>
  </si>
  <si>
    <t>Provider of SaaS mobile sales management cloud services for enterprises in China. The company's service provides a solution regarding to sales plans, customer management, negotiation assistance, financial statement management, and has developed industry specific standardized solutions to industries such as agriculture, medicine, fashion and construction.</t>
  </si>
  <si>
    <t>Kinzon Capital</t>
  </si>
  <si>
    <t>Toucan Toco</t>
  </si>
  <si>
    <t>www.toucantoco.com</t>
  </si>
  <si>
    <t>Developer of a business management platform intended to simplify the process of data analysis and visualization. The company's platform specializes in managing projects, data visualization, data reporting and data analysis, enabling clients to make better decisions and organizations to make their data more meaningful and understandable.</t>
  </si>
  <si>
    <t>Balderton Capital(Bernard Liautaud), Capgemini (PAR: CAP)(Lucia Sinapi-Thomas), ISAI</t>
  </si>
  <si>
    <t>Kimble</t>
  </si>
  <si>
    <t>www.kimbleapps.com</t>
  </si>
  <si>
    <t>Developer of a cloud-based professional services automation software designed to improve business performance, increasing visibility and offering enhanced collaboration. The company's software offers its users real-time information to identify underlying business issues and incorporates the use of augmented intelligence into its analytics, enabling businesses to identify patterns in performance data and recommending implementation as well as support services.</t>
  </si>
  <si>
    <t>Accel-KKR(Gregory Williams), Stephen Kelly(Stephen Kelly), Sussex Place Ventures(Barnaby Terry)</t>
  </si>
  <si>
    <t>Braincube (Media and Information Services (B2B))</t>
  </si>
  <si>
    <t>www.braincube.com</t>
  </si>
  <si>
    <t>Developer of industrial internet of things platform intended to provide business apps for manufacturers. The company's platform provides a compilation of complex data generated by production machines, coherent aggregation of the data in secure databases with predictive algorithm optimization, enabling factories and production teams to service sufficient equipment control to manage and optimize their productivity.</t>
  </si>
  <si>
    <t>Iris Capital(Erik de la Rivière), Next47(T.J. Rylander)</t>
  </si>
  <si>
    <t>Media and Information Services (B2B)</t>
  </si>
  <si>
    <t>Ceros</t>
  </si>
  <si>
    <t>www.ceros.com</t>
  </si>
  <si>
    <t>Provider of an interactive content creation software designed to create rich, engaging content, without code or traditional web development. The company's software is a cloud-based design studio that makes it easy to collaborate on digital projects in real time and publish with the click of a button, enabling brands to share their stories and engage their audiences.</t>
  </si>
  <si>
    <t>CNF Investments, Greenspring Associates(John Avirett), Greycroft(Ian Sigalow), Grotech Ventures(Lawson DeVries), Sigma Prime Ventures(Jere Doyle), Silicon Valley Bank, StarVest Partners(Laura Sachar)</t>
  </si>
  <si>
    <t>GrandPad</t>
  </si>
  <si>
    <t>www.grandpad.net</t>
  </si>
  <si>
    <t>Developer of an elderly engagement device designed to connect seniors with their loved ones. The company's device is a purpose-built tablet for elderly people and addresses usability, security, and connectivity issues that are often roadblocks for integrating remote monitoring and telehealth into professional and familial caregiving settings, as well as offers a secure cloud platform with built-in web applications, enabling seniors citizens to engage in a variety of activities remotely with older adults and family members without having to depend on WIFI connectivity.</t>
  </si>
  <si>
    <t>Consumer Cellular(John Marick), Home Instead(Jeff Huber)</t>
  </si>
  <si>
    <t>Electronics (B2C)</t>
  </si>
  <si>
    <t>Trellis (Media and Information Services (B2B))</t>
  </si>
  <si>
    <t>www.trellis.law</t>
  </si>
  <si>
    <t>Developer of a legal intelligence platform focused on local courts and judge-level analytics. The company's platform offers legal research services that harness the power of data and AI to provide judicial and legal analytics and provide insights into specific legal issues that are decided across countries, thereby enabling litigators to win cases by analyzing the opposing counsel.</t>
  </si>
  <si>
    <t>BRM Burgenländische Risikokapital Management, Calibrate Ventures, Craft Ventures(David Sacks), Headline (San Francisco), Headline Ventures, Revel Partners</t>
  </si>
  <si>
    <t>Disperse</t>
  </si>
  <si>
    <t>www.disperse.io</t>
  </si>
  <si>
    <t>Developer of a construction management platform designed to keep track of the operational engineering activities. The company's platform leverages artificial intelligence to capture and process visual data from physical sites, 2D drawings, and 3D models to create an interactive digital twin, enabling the construction industry to avoid repetitive administrative tasks and improve overall operations.</t>
  </si>
  <si>
    <t>AdTay Ventures, Frontline Ventures, Jigsaw VC, Kindred Capital(Russell Buckley), Northzone Ventures(Michiel Kotting), Revolt Ventures</t>
  </si>
  <si>
    <t>Darwinbox</t>
  </si>
  <si>
    <t>www.darwinbox.com</t>
  </si>
  <si>
    <t>Developer of SaaS-based human resource management (HRMS) platform designed to transform the interaction between the workforce and technology. The company's platform offers an easy-to-use interface, functional depth, faster implementation cycles, and unique new-age features including e-onboarding, merit planning, continuous feedback, performance journals, and insightful analytics, enabling mid to large-sized enterprises to manage core operations and drive employee engagement and performance.</t>
  </si>
  <si>
    <t>3one4 Capital(Pranav Pai), Endiya Partners(Sateesh Andra), Lightspeed India Partners(Devtosh Khare), Sequoia Capital India(Harshjit Sethi)</t>
  </si>
  <si>
    <t>Human Capital Services</t>
  </si>
  <si>
    <t>Plaid (Business/Productivity Software) (TKS: 4165)</t>
  </si>
  <si>
    <t>www.plaid.co.jp</t>
  </si>
  <si>
    <t>Plaid Inc is engaged in providing cloud-based customer experience platform KARTE. It provides data analytics, development and operation of platform, media shopping tribe and other services.</t>
  </si>
  <si>
    <t>Google Cloud Platform(Tarik Shoukat)</t>
  </si>
  <si>
    <t>Stream</t>
  </si>
  <si>
    <t>www.getstream.io</t>
  </si>
  <si>
    <t>Developer of Application Program Interface (APIs) designed to elevate the quality of applications for users worldwide. The company's platform helps in focusing vital development resources on what makes applications unique, enabling product teams to build chat and activity feeds for their applications at scale in a fraction of the time and cost of developing in-house.</t>
  </si>
  <si>
    <t>01 Advisors, Arthur Ventures(Patrick Meenan), GGV Capital(Tiffany Luck), Knight Capital, Olivier Pomel(Olivier Pomel), Social Starts, Tom Preston-Werner(Tom Preston-Werner)</t>
  </si>
  <si>
    <t>Flybuy</t>
  </si>
  <si>
    <t>flybuy.com</t>
  </si>
  <si>
    <t>Developer of an enterprise platform designed to automate staff operations and simplify the guest experience. The company leverages the wireless signals of mobile devices to detect when visitors are in close proximity to important points of interest and provide a proper understanding of customer shopping patterns, enabling developers, major retailers, and other brick-and-mortar operators to generate customer traffic and drive innovative customer engagements.</t>
  </si>
  <si>
    <t>AAF Management, Contour Venture Partners, Core Capital Partners, Sherwood Neiss(Sherwood Neiss)</t>
  </si>
  <si>
    <t>Rigado</t>
  </si>
  <si>
    <t>www.rigado.com</t>
  </si>
  <si>
    <t>Developer of edge-as-a-service infrastructure designed for commercial IoT (Internet of Things) solutions. The company leverages edge computing and connectivity and provides edge-as-a-service, gateways, Bluetooth low-energy modules, software, firmware, and solution engineering, enabling clients to perform large-scale commercial IoT deployments that deliver increased business value while reducing time-to-market, complexity, and risk.</t>
  </si>
  <si>
    <t>Alliance of Angels, Big Basin Partners, FusionX Ventures(Kenneth Hood), Madrona Venture Group(Len Jordan), Oregon Venture Fund(Steve Buhaly), Rogue Venture Partners, Vanedge Capital(Paul Lee)</t>
  </si>
  <si>
    <t>Electronic Equipment and Instruments</t>
  </si>
  <si>
    <t>SOCi</t>
  </si>
  <si>
    <t>www.meetsoci.com</t>
  </si>
  <si>
    <t>Developer of a social media marketing and management platform intended to serve multi-location marketers. The company's platform creates and publishes engaging content for launching campaigns and reputation management, enabling brands to strengthen and scale their digital presence across limitless local search and social pages.</t>
  </si>
  <si>
    <t>Ankona Capital(Brian Mesic), Blossom Street Ventures, Grayhawk Capital, Seeds San Diego, Vertical Venture Partners</t>
  </si>
  <si>
    <t>ConversionPoint Technologies</t>
  </si>
  <si>
    <t>www.conversionpoint.com</t>
  </si>
  <si>
    <t>Developer of a cloud-based platform designed to empower direct-to-consumer e-commerce marketing with a technology stack that drives conversions. The Company's eCommerce technology platform includes a media optimization service that uses machine learning to optimize ad purchases and lower customer acquisition costs and a CRM that provides a robust payment processing and customer data management platform, enabling eCommerce companies to get high-volume product sales across multiple consumer verticals.</t>
  </si>
  <si>
    <t>Falcon Capital (London), Rocket One Capital</t>
  </si>
  <si>
    <t>dv01</t>
  </si>
  <si>
    <t>www.dv01.co</t>
  </si>
  <si>
    <t>Developer of a financial analytics platform designed to bring transparency and insight into lending markets. The company's platform replaces fragmented workflows and antiquated technologies with clean data, automated reporting, and predictive analytics while normalizing data across online lenders, enabling banks and institutional investors to get transparency in a rapidly evolving market.</t>
  </si>
  <si>
    <t>Illuminate Financial Management(Mark Beeston), Jefferies Financial Group (NYS: JEF)(Brian McGrath), OCA Ventures(James Dugan), Pivot Investment Partners(Dinkar Jetley), Regions Financial (NYS: RF)(Chad Lopes), Soros Fund Management</t>
  </si>
  <si>
    <t>AlertMedia</t>
  </si>
  <si>
    <t>www.alertmedia.com</t>
  </si>
  <si>
    <t>Developer of a cloud-based emergency mass communications and monitoring platform designed to improve employee safety. The company's platform protects organizations, improve operations and mitigate loss from any location using any device by connecting with the people over multiple channels such as text, email, mobile app, voice and social media to improve coordination and outcomes, enabling organizations to securely and effectively monitor threats and streamline notifications.</t>
  </si>
  <si>
    <t>JMI Equity(Robert Nye), Next Coast Ventures(Michael Smerklo), Silverton Partners(Morgan Flager)</t>
  </si>
  <si>
    <t>Communication Software</t>
  </si>
  <si>
    <t>Loadshare</t>
  </si>
  <si>
    <t>www.loadshare.net</t>
  </si>
  <si>
    <t>Developer of a logistics management platform designed to create a technology-driven logistics network. The company's platform offers extensive services ranging from the first mile, line-haul, last-mile deliveries, and modular logistics software to partners, thereby enabling small and medium businesses to serve shippers through a network of capable partners with regional expertise and streamline their decision-making, communications, and escalations.</t>
  </si>
  <si>
    <t>57 Stars, Alteria Capital, BEENEXT Capital Management, British International Investment(Srinivasan Nagarajan), iExponential, Jitendra Gupta(Jitendra Gupta), Matrix Partners India(Rajinder Balaraman), Stellaris Venture Partners(Alok Goyal)</t>
  </si>
  <si>
    <t>Logistics</t>
  </si>
  <si>
    <t>eKincare</t>
  </si>
  <si>
    <t>www.ekincare.com</t>
  </si>
  <si>
    <t>Developer of a cloud-based medical networking platform intended to offer recommendations on healthcare interventions. The company's platform monitors and gathers updated medical results from various healthcare service providers and helps in identifying potential health updates and risks as well as taking necessary steps towards improving health, enabling users to monitor their critical medical information and view it anywhere anytime.</t>
  </si>
  <si>
    <t>Eight Roads, Endiya Partners, Healthquad, IC Universal Legal Advocates &amp; Solicitors, J. Sagar Associates, Sabre Partners, Siana Capital Management, VenturEast(Vinay Rao)</t>
  </si>
  <si>
    <t>Other Healthcare Technology Systems</t>
  </si>
  <si>
    <t>Brightpearl</t>
  </si>
  <si>
    <t>www.brightpearl.com</t>
  </si>
  <si>
    <t>Series C1</t>
  </si>
  <si>
    <t>Developer of cloud-based retail management software intended for e-commerce, multichannel retail brands, and wholesalers. The company's platform offers a scalable operating system that integrates and automates post-purchase operations and full omnichannel inventory management, enabling clients to streamline sales and supply chain functions across online and offline channels.</t>
  </si>
  <si>
    <t>Cipio Partners(Roland Dennert), Eden Ventures, MMC Ventures(Simon Menashy), Notion(Christopher Tottman), VentureFounders, Verdane(Emanuel Johnsson)</t>
  </si>
  <si>
    <t>Stratio</t>
  </si>
  <si>
    <t>www.stratio.com</t>
  </si>
  <si>
    <t>Developer of a hybrid virtual data management platform designed to help businesses with their digital transformation. The company's big data technology uses artificial intelligence and offers data analysis, storage, decision-making, and other data-related services, enabling organizations to ensure scalability, maximum flexibility, and adaptation to new markets.</t>
  </si>
  <si>
    <t>Adara Ventures(Alberto Gómez), GP Bullhound(Per Roman)</t>
  </si>
  <si>
    <t>Flagstone</t>
  </si>
  <si>
    <t>www.flagstoneim.com</t>
  </si>
  <si>
    <t>Developer of an online financial platform intended to provide safe and simple access to the widest choice of savings accounts from a range of banks offering exclusive and market-leading rates. The company's platform provides access to numerous deposit accounts, fixed-term products and monthly statements on completion of a single application, enabling clients to earn more interest income and reduce risk through diversification.</t>
  </si>
  <si>
    <t>Kindred Capital, MoneySupermarket.com Group (LON: MONY), OMERS Ventures(Harry Briggs), VentureFounders</t>
  </si>
  <si>
    <t>AB Tasty</t>
  </si>
  <si>
    <t>www.abtasty.com</t>
  </si>
  <si>
    <t>Operator of a cloud-based conversion rate optimization platform intended to assist marketers to optimize their websites and increase conversion rates. The company's platform offers a full range of tests including A/B, split, multivariate and multi-page to modify pages and create new designs as well as provides personalization and user engagement tools, enabling companies to boost online sales by allowing marketers to understand their customers and act on this insight.</t>
  </si>
  <si>
    <t>Korelya Capital(Paul Degueuse), Omnes Capital(Xavier Brunaud), Partech(Reza Malekzadeh), Siparex XAnge Venture</t>
  </si>
  <si>
    <t>Oxbotica</t>
  </si>
  <si>
    <t>www.oxbotica.com</t>
  </si>
  <si>
    <t>Developer of an AI-based platform intended to bring autonomy to any industry. The company provides a full suite of universal autonomy software that is fully modular, has low compute power requirements and uses laser vision and radar for localization and perception for redundancy and safety purposes, and is fully integrated with a cloud management service, enabling businesses to help bring autonomy to all vehicles, in all places at all times.</t>
  </si>
  <si>
    <t>AXA XL, IP Group (LON: IPO)(Jamie Vollbracht), Parkwalk Advisors</t>
  </si>
  <si>
    <t>Securly</t>
  </si>
  <si>
    <t>www.securly.com</t>
  </si>
  <si>
    <t>Developer of a student safety platform designed to help students and children to surf the web. The company's platform is a cloud-based, web-filtering platform for school computers, which through language-sentiment analysis, also detects cyberbullying and self-harm behaviors, enabling teachers and parents to control and track websites used by students on school computers.</t>
  </si>
  <si>
    <t>Defy Partners Management(Neil Sequeira), Fengmin Gong(Fengmin Gong), Gerhard Eschelbeck(Gerhard Eschelbeck), InnoSpring, Owl Ventures, ZhenFund</t>
  </si>
  <si>
    <t>Network Management Software</t>
  </si>
  <si>
    <t>Alianza</t>
  </si>
  <si>
    <t>www.alianza.com</t>
  </si>
  <si>
    <t>Series C2</t>
  </si>
  <si>
    <t>Developer of cloud communications software designed to reduce the complexity of VoIP. The company's platform eliminates CAPEX, reduces OPEX, and features customizable and easy to manage web APIs, enabling telecom service providers to deliver innovative and profitable VoIP services while reducing the time, capital, and human resources needed.</t>
  </si>
  <si>
    <t>Frazier Group, Realization Capital Partners</t>
  </si>
  <si>
    <t>Carta</t>
  </si>
  <si>
    <t>www.carta.com</t>
  </si>
  <si>
    <t>Operator of a financial platform intended to unlock the power of equity ownership for more people in more places. The company's platform features portfolio insights and dashboards, scenario modeling, board management, fund administrators, LP management, and other services, enabling clients to manage capitalization tables, valuations, portfolio investments, and equity plans.</t>
  </si>
  <si>
    <t>PROOF Fund, Sinai Ventures(Eric Reiner), University Growth Fund</t>
  </si>
  <si>
    <t>Allego</t>
  </si>
  <si>
    <t>www.allego.com</t>
  </si>
  <si>
    <t>Developer of a cloud-based training platform designed to ensure employees accelerate team success. The company's platform offers personalized content for individual sellers for selling situations and mastered through reinforcement, on-the-job coaching, and peer collaboration that helps to drive faster onboarding, enhance engagement, long-term knowledge retention, and improve customer interactions, enabling sales teams to boost sales performance and productivity through video content sharing.</t>
  </si>
  <si>
    <t>Summit Partners</t>
  </si>
  <si>
    <t>Sofar Sounds</t>
  </si>
  <si>
    <t>www.sofarsounds.com</t>
  </si>
  <si>
    <t>Provider of event organization services intended to offer public music entertainment. The company's services include a live music community that organizes small, intimate music performances in private living rooms in countries across the globe, enabling music artists to connect with engaged audiences and perform their favorite music tracks.</t>
  </si>
  <si>
    <t>Battery Ventures(Shiran Shalev), Pillar VC, The Chernin Group, Union Square Ventures</t>
  </si>
  <si>
    <t>OVice</t>
  </si>
  <si>
    <t>www.ovice.in</t>
  </si>
  <si>
    <t>Developer of communication software designed to humanize online communications for natural interactions in coworking space. The company's software permits louder and clearer voices from closer people and smaller voices from farther people without the need to create or switch rooms to join other conversations, enabling users to avail themselves of hassle-free networking and clear voice communication even with average internet speed.</t>
  </si>
  <si>
    <t>DG Ventures (Digital Garage Group), Eight Roads, Jafco (TKS: 8595), KB Investment, Miraise, One Capital (Tokyo), Salesforce Ventures</t>
  </si>
  <si>
    <t>Windward (LON: WNWD)</t>
  </si>
  <si>
    <t>www.windward.ai</t>
  </si>
  <si>
    <t>Windward Ltd is a predictive intelligence company, fusing artificial intelligence and maritime expertise seeking to digitalize the global maritime industry. The company's AI-powered software solution aims to provide real-time information and insights on major seafaring vessels at sea, enabling stakeholders within the maritime ecosystem to make intelligence-driven decisions to manage risk and achieve business and operational insights.</t>
  </si>
  <si>
    <t>Aleph(Eden Shochat), Altshuler Shaham Trusts Ltd, Eliot International Limited, Horizons Ventures(Patrick Poon), La Maison Partners, Marc Benioff(Marc Benioff), Maritime Invest Scandinavia AB, Starry Leader Limited, XL Innovate(Thompson Hutton)</t>
  </si>
  <si>
    <t>JP Morgan Asset Management(Anne Lester)</t>
  </si>
  <si>
    <t>Cardiologs</t>
  </si>
  <si>
    <t>www.cardiologs.com</t>
  </si>
  <si>
    <t>Operator of a medical technology company intended to democratize expert cardiac care globally. The company's technology empowers all actors in the care chain with AI and offers an automatic heart disorder screener and ECG analysis web services based on machine learning algorithms, providing physicians with supportive information for ECG interpretation.</t>
  </si>
  <si>
    <t>Alven Capital Partners(François Meteyer), Bpifrance(Jean-Patrice Anciaux), Eurazeo (PAR: RF), Idinvest Partners, ISAI, Kurma Partners(Philippe Peltier), Paris-Saclay Seed Fund</t>
  </si>
  <si>
    <t>Decision/Risk Analysis</t>
  </si>
  <si>
    <t>Nosto</t>
  </si>
  <si>
    <t>www.nosto.com</t>
  </si>
  <si>
    <t>Developer of a commerce experience platform intended to keep both product and shopper data updated in real-time. The company's platform is available to online retailers without requiring any back-end integration with online personalized shopping experiences to customers at every touchpoint across every device, enabling clients to build, launch and optimize multi-channel marketing campaigns without the need for dedicated resources.</t>
  </si>
  <si>
    <t>Bailador Technology Investments, Partners for Growth, Rampersand, Sandbar Investments</t>
  </si>
  <si>
    <t>Adthena</t>
  </si>
  <si>
    <t>www.adthena.com</t>
  </si>
  <si>
    <t>Developer of an advanced competitive intelligence platform designed to offer competitive market insights. The company's platform uses a user-friendly interface that segments data to offer insights into brand protection, partner management, strategic planning, gap analysis and ad copy analysis delivering all the key insights search advertisers need, enabling companies to understand their competitor's budgets and strategies easily.</t>
  </si>
  <si>
    <t>Charles Taylor(Charles Taylor), Mark Turner(Mark Turner), Nickleby Capital, Updata Partners(Jonathan Seeber)</t>
  </si>
  <si>
    <t>Meniga</t>
  </si>
  <si>
    <t>www.meniga.com</t>
  </si>
  <si>
    <t>Developer of a digital banking platform designed to improve the online and mobile digital banking environment. The company's digital banking platform provides a framework for next-generation digital banking around advanced data consolidation and enrichment, meaningful customer engagement, and new revenue opportunities, enabling financial institutions to dramatically improve and strengthen their customers' relationships.</t>
  </si>
  <si>
    <t>Anthemis Group(Yann Ranchere), Chris Skinner(Chris Skinner), Frumtak Ventures(Svana Gunnarsdottir), Industrifonden(Sofia Ericsson Holm), Kjolfesta, Northzone Ventures, Swedbank Robur, Velocity Capital Fintech Ventures(Willem Willemstein)</t>
  </si>
  <si>
    <t>Recuro Health</t>
  </si>
  <si>
    <t>www.recurohealth.com</t>
  </si>
  <si>
    <t>Developer of digital health platform designed for employers, providers and managed care organizations. The company's software offers different tools, education, and guidance through digital and virtual data with the help of health assessments, message-based and video interactions with professionals, thereby enabling the healthcare industry to empower patients to actively engage in their health no matter their location or circumstance.</t>
  </si>
  <si>
    <t>1843 Capital(Tracy Chadwell), ARCH Venture Partners(Robert Nelsen), Cortado Ventures, Deepwork Capital, Oklahoma Life Science Fund(William Paiva), Sage Venture Partners, The Ropart Asset Management Funds</t>
  </si>
  <si>
    <t>Blend (NYS: BLND)</t>
  </si>
  <si>
    <t>www.blend.com</t>
  </si>
  <si>
    <t>Series D1</t>
  </si>
  <si>
    <t>Blend Labs Inc is a cloud-based platform software platform that powers the digital interface between financial services firms and consumers. It supports and simplifies applications for mortgages, consumer loans, and deposit accounts. Its operating segments are Blend Platform and Title365.</t>
  </si>
  <si>
    <t>Fifth Wall, Lennar (NYS: LEN), Lodestar Ventures, Salesforce Ventures, Thomvest Ventures</t>
  </si>
  <si>
    <t>Liongard</t>
  </si>
  <si>
    <t>www.liongard.com</t>
  </si>
  <si>
    <t>Developer of a unified automation platform designed to facilitate documentation and management of IT assets. The company's platform assists managed service providers to automatically document, audit, and secure their clients' systems from cloud and network to on-premise environments and beyond as they keep pace with ever-changing IT requirements, enabling IT service providers to assess misconfigurations and secure IT assets cost-effectively.</t>
  </si>
  <si>
    <t>Frontera Technology, Gestalt Cybersecurity, Houston Angel Network, Integr8d Capital, Jared Slosberg(Jared Slosberg), Station Houston Ventures, TDF Ventures(James Pastoriza), TiE Houston Angels, University of Houston System Endowment, Updata Partners(Carter Griffin), Urban Capital Network(Heath Butler)</t>
  </si>
  <si>
    <t>Azur (Insurance Brokers)</t>
  </si>
  <si>
    <t>www.azuruw.com</t>
  </si>
  <si>
    <t>Operator of a personal lines insurance managing company intended to build and underwrite products using digital transformation. The company's services include providing a cloud-based insurance platform that offers end-to-end service from broker onboarding, through quotation, binding, policy documentation issuance, and premium collection, enabling users to have a cost-efficient option that offers a simple underwriting experience.</t>
  </si>
  <si>
    <t>American International Group (NYS: AIG)(Neil Minnich), Andrew Brooks, Ascot Underwriting(Andrew Brooks), Howden Group Holdings, Richard Patrick Little(Richard Little)</t>
  </si>
  <si>
    <t>Insurance Brokers</t>
  </si>
  <si>
    <t>Itineris</t>
  </si>
  <si>
    <t>www.itineris.net</t>
  </si>
  <si>
    <t>Developer of a customer information system and ERP software intended to help businesses empower utilities in smart and flexible ways. The company's software helps the water and energy utility industry to overcome the regulatory, infrastructural and operational challenges, enabling clients to align their IT systems with their business processes.</t>
  </si>
  <si>
    <t>Alychlo(Marc Coucke)</t>
  </si>
  <si>
    <t>Modulr (Financial Software)</t>
  </si>
  <si>
    <t>www.modulrfinance.com</t>
  </si>
  <si>
    <t>Provider of a payments-as-a-service API platform intended to offer a faster, easier, and more reliable way to move money for digital businesses. The company's platform integrates into any product or system and automates payment flows, embeds payments into their platforms, and builds entirely new payment products and services themselves, enabling businesses to streamline existing services, launch new products and scale more efficiently.</t>
  </si>
  <si>
    <t>FIS Ventures, PayPal Ventures(Anil Hansjee)</t>
  </si>
  <si>
    <t>Brandlive</t>
  </si>
  <si>
    <t>www.brandlive.com</t>
  </si>
  <si>
    <t>Series B1</t>
  </si>
  <si>
    <t>Operator of a live video platform designed to offer sales training programs, deliver marketing campaigns, and increase direct-to-consumer sales. The company's platform allows users to create real-time video content to engage digital audiences and provides high-definition live or recorded video broadcasting, customized registration, email notification, and URL, enabling brands to build human connections and foster loyal relationships at scale in the digital world.</t>
  </si>
  <si>
    <t>Elevate Capital, Kathryn Wright(Kathryn Wright), Uncorrelated Ventures, Victor Liu(Victor Liu)</t>
  </si>
  <si>
    <t>Gradle</t>
  </si>
  <si>
    <t>www.gradle.com</t>
  </si>
  <si>
    <t>Developer of an open-source build automation software designed to transform how software is built and shipped. The company's software helps users to build, automate, deliver and maintain complex applications, enabling enterprises to continuously improve their ability to ship software and channels by unifying and automating build processes in a faster and cost-effective way.</t>
  </si>
  <si>
    <t>Uncorrelated Ventures(Salil Deshpande)</t>
  </si>
  <si>
    <t>Holded</t>
  </si>
  <si>
    <t>www.holded.com</t>
  </si>
  <si>
    <t>Developer of a cloud ERP and accounting software for small and medium-sized businesses. The company's software covers financial management such as accounting and invoicing to HR, CRM and project and inventory management, enabling organizations to increase sales, reduce expenses and save time when they can manage different aspects of the business from the platform.</t>
  </si>
  <si>
    <t>4Founders Capital, Albert Armengol, Carlos Blanco(Carlos Blanco), Elaia Partners(Pauline Roux), Iñaki Ecenarro(Iñaki Ecenarro), Lakestar(Nicolas Brand), Nauta Capital, Seedrocket</t>
  </si>
  <si>
    <t>Blenheim Chalcot(Manoj Badale), Frog Capital(Jens Düing)</t>
  </si>
  <si>
    <t>Huboo</t>
  </si>
  <si>
    <t>www.huboo.com</t>
  </si>
  <si>
    <t>Provider of warehousing, packaging, and delivering services intended to manage stock for e-commerce sellers. The company allows businesses to stock, store, pick, pack, and deliver products by shipping them directly from the wholesaler through their platform, enabling internet retailers to optimize and manage their inventories in a secure and efficient manner.</t>
  </si>
  <si>
    <t>Ada Ventures, Episode 1 Ventures(Damien Lane), Hearst Ventures, Maersk Growth, Stride.VC(Frederic Destin), True.</t>
  </si>
  <si>
    <t>Baton (Financial Software)</t>
  </si>
  <si>
    <t>www.batonsystems.com</t>
  </si>
  <si>
    <t>Provider of a payments technology platform designed to revolutionize the entire post-trade process with interoperable, friction-free, flexible, and transparent digital market infrastructures. The company's software is a fast, secure platform for the riskless settlement of both cash and securities and also assists with asset movement and settlements across financial markets, enabling firms to move from a server-based, hard-wired inflexible world to fully digital market infrastructures.</t>
  </si>
  <si>
    <t>Alsop Louie Partners, Commerce Ventures, Illuminate Financial Management(Luca Zorzino), Lewis Kaden(Lewis Kaden), Trinity Ventures(Schwark Satyavolu)</t>
  </si>
  <si>
    <t>Ometria</t>
  </si>
  <si>
    <t>www.ometria.com</t>
  </si>
  <si>
    <t>Developer of an AI-powered customer marketing platform designed to offer personalized marketing. The company's platform offers automated software that uses big data technology and connects back-end and online data e-commerce retailers with their products and customers, helping retailers to create marketing experiences with their customers.</t>
  </si>
  <si>
    <t>Adjuvo, Bright Pixel Capital(Eduardo Piedade), Octopus Ventures(Marieke Christmann), Samos Investments, Summit Action(Hamad Alwazzan)</t>
  </si>
  <si>
    <t>Sorted (Logistics)</t>
  </si>
  <si>
    <t>www.sorted.com</t>
  </si>
  <si>
    <t>Developer of a delivery management platform built to streamline checkouts, warehouses and shipping. The company's platform leverages a data-driven approach to carrier management, shipping and delivery tracking and connects each stage of the e-commerce parcel journey from purchase at checkout to fulfillment in the warehouse and doorstep delivery, enabling retailers to increase conversion rates, reduce abandoned baskets and increase customer loyalty.</t>
  </si>
  <si>
    <t>Chrysalis Investments (LON: CHRY)(Richard Watts), NVM Private Equity(Andy Leach), Praetura Ventures(Michael Fletcher)</t>
  </si>
  <si>
    <t>Lianchuan Biology</t>
  </si>
  <si>
    <t>www.lc-bio.com</t>
  </si>
  <si>
    <t>Developer of a genomics and precision medicine platform based in Hangzhou, China. The company's platform offers genome sequencing, genetic testing programs and products, enabling healthcare providers to accurately capture target genes and provide a leading breakthrough in clinical gene capture.</t>
  </si>
  <si>
    <t>Chint, CrestValue Capital, Heda Ventures, Junchuan Capital, SinoWisdom, Zheshang Venture Capital</t>
  </si>
  <si>
    <t>IGAWorks</t>
  </si>
  <si>
    <t>www.igaworks.com</t>
  </si>
  <si>
    <t>Developer of an integrated mobile platform designed to help publishers monetize their applications. The company's platform provides analytics and key indexes to support marketing plans after the launch of an application as well as helps in tracking all advertising channels, enabling businesses to perform better in the market.</t>
  </si>
  <si>
    <t>Atinum Investment (KRX: 021080)(Jerry Kim), Korea Investment Partners, Quantum Ventures Korea, Reverent Partners</t>
  </si>
  <si>
    <t>Agorapulse</t>
  </si>
  <si>
    <t>www.agorapulse.com</t>
  </si>
  <si>
    <t>Operator of a social marketing platform intended to organize, save time, and easily manage your social media. The company's platform leverages technology to empower businesses and agencies to grow and engage a fan and follower base, measure performance, and optimize their social media presence with advanced publishing and moderation tools, enabling clients to increase their social media engagements.</t>
  </si>
  <si>
    <t>Cipio Partners(Roland Dennert), Entrepreneur Invest, Hi Inov(Valerie Gombart)</t>
  </si>
  <si>
    <t>Zoovu</t>
  </si>
  <si>
    <t>www.zoovu.com</t>
  </si>
  <si>
    <t>Developer of a digital assistance platform intended to make every search a conversation that engages to reveal wants and needs. The company's platform utilizes artificial intelligence to offer a suite with a business-user-friendly interface that covers a wide range of product domains like consumer electronics, healthcare, banking, and telecommunications, enabling brands to understand their customers and deliver engagement in an enhanced way.</t>
  </si>
  <si>
    <t>Beringea(Eyal Malinger), EBRD Venture Capital Investment Programme, Hammer Team(Ariel Lüdi), Target Global(Yaron Valler)</t>
  </si>
  <si>
    <t>Topia</t>
  </si>
  <si>
    <t>www.topia.com</t>
  </si>
  <si>
    <t>Developer of a global talent mobility platform designed to empower enterprise HR teams to deploy, manage and engage employees anywhere in the world. The company's global talent mobility platform offers to deliver mobility as part of a broader talent and business strategy with enhanced employee experiences, providing clients a platform that automates the entire global talent mobility process, from scenario-based planning, compliance risk management, ex-pat payroll, reporting, and more.</t>
  </si>
  <si>
    <t>NewView Capital(Jazmin Medina), Notion(Jos White), TriplePoint Capital, Workday Ventures</t>
  </si>
  <si>
    <t>OnTruck</t>
  </si>
  <si>
    <t>www.ontruck.com</t>
  </si>
  <si>
    <t>Operator of a digital transportation company intended to connect businesses with road freight companies. The company offers a fully automated process of matching a shipment to the right track for the optimum price in just seconds as well as offers instant pricing, precise pick-up slots, and real-time tracking service of the status of each shipment, enabling clients to manage freight deliveries by matching loads to vehicles, using artificial intelligence.</t>
  </si>
  <si>
    <t>Atomico, Cathay Innovation, Endeavor Catalyst, Eurazeo (PAR: RF), Hambro Perks, Idinvest Partners(Louis Bô), Intelectium Business Acceleration, OGCI Climate Investments(Hannah-Mei Andrews), Samaipata, TotalEnergies Ventures</t>
  </si>
  <si>
    <t>Ease (Business/Productivity Software)</t>
  </si>
  <si>
    <t>www.ease.com</t>
  </si>
  <si>
    <t>Developer of a cloud-based benefits enrollment platform designed to serve insurance brokers and employers. The company's platform allows users to set up and manage benefits, onboard new hires, stay compliant, and offer employees a single destination for all their human resources information, enabling insurance brokers and employers to streamline the complex process and offer their clients better service through simple technology.</t>
  </si>
  <si>
    <t>Centana Growth Partners, Compound, Freestyle Capital(David Samuel), Propel Venture Partners(Ryan Gilbert), Runway Venture Partners, Upside Partnership</t>
  </si>
  <si>
    <t>GOI (Logistics)</t>
  </si>
  <si>
    <t>www.letsgoi.com</t>
  </si>
  <si>
    <t>Provider of an online logistics marketplace intended to make bulky shipments within the same province. The company's logistics marketplace offers same-day delivery service at an affordable price, without auctions and the customer can choose the exact time of arrival of their order, which is delivered by highly trained and qualified carriers, enabling users to have absolute control over the entire logistics chain.</t>
  </si>
  <si>
    <t>Moira Capital Partners(Javier Loizaga)</t>
  </si>
  <si>
    <t>Topnew Info (SHE: 300895)</t>
  </si>
  <si>
    <t>www.topnewinfo.cn</t>
  </si>
  <si>
    <t>Beijing Topnew Info &amp; Tech Co Ltd is a software company providing internet data center services, cloud services, internet access services, internet data center and cloud platform information system integration services, application software development services. The company provides high-end IT technical services for global multinational companies, and provides customers with customized comprehensive solutions such as design, procurement, configuration, testing, installation, inventory management, and transportation services, and realize all over the world IT delivery.</t>
  </si>
  <si>
    <t>China Broadband Capital Partners, China Galaxy Finance, iYunhai, Teyouming</t>
  </si>
  <si>
    <t>Systems and Information Management</t>
  </si>
  <si>
    <t>UBiqube</t>
  </si>
  <si>
    <t>www.ubiqube.com</t>
  </si>
  <si>
    <t>Developer of end-to-end network and security orchestration software designed to facilitate service and network integration for large and medium enterprises. 
The company's software and tools offer an open framework for the design, automation, and orchestration of services over hybrid communication infrastructures, enabling businesses and corporations to address and work on any service delivery scenarios with any combination of vendors.</t>
  </si>
  <si>
    <t>NTT COMWARE(Satoshi Kurishima)</t>
  </si>
  <si>
    <t>Pockit</t>
  </si>
  <si>
    <t>www.pockit.com</t>
  </si>
  <si>
    <t>Developer of a financial platform designed to offer current account functionality. The company's platform lets users spend less on bills, build better credit scores, and send money abroad for fewer rates, providing users with affordable short-term credit.</t>
  </si>
  <si>
    <t>Concentric(Denis Shafranik), Kinled Holding, Maven Capital Partners UK(David Nixon), North East Fund(Jason Hobbs), Verve Ventures (London)</t>
  </si>
  <si>
    <t>Accolade (NAS: ACCD)</t>
  </si>
  <si>
    <t>www.accolade.com</t>
  </si>
  <si>
    <t>Series F</t>
  </si>
  <si>
    <t>Accolade Inc offers technology-enabled solutions that help people better understand, navigate, and utilize the healthcare system and their workplace benefits. It generates revenue by providing personalized health guidance solutions to members.</t>
  </si>
  <si>
    <t>75 &amp; Sunny, Humana (NYS: HUM)(Christopher Hunter), RME Capital, SightLine Partners</t>
  </si>
  <si>
    <t>Managed Care</t>
  </si>
  <si>
    <t>EmergeTech</t>
  </si>
  <si>
    <t>www.emergemarket.com</t>
  </si>
  <si>
    <t>Developer of a web-based transportation management platform designed to assist freight professionals to streamline freight management, end-to-end.
 The company's platform handles freight quotes, tracking, reporting, and other transportation functions, enabling companies to facilitate long-term, mutually beneficial relationships between shippers and carriers and create a positive network effect.</t>
  </si>
  <si>
    <t>9Yards Capital, Greycroft(William Szczerbiak), Latitude(Investor), NewRoad Capital Partners(Clete Brewer)</t>
  </si>
  <si>
    <t>Shef</t>
  </si>
  <si>
    <t>www.shef.com</t>
  </si>
  <si>
    <t>Provider of homemade meal delivery services intended to contribute to economic empowerment and cultural inclusivity. The company's services offer authentic dishes prepared by local and certified chefs from around the world, enabling people to have access to healthy meals at an affordable price.</t>
  </si>
  <si>
    <t>Aarón Sánchez(Aarón Sánchez), AirAngels, Andre Iguodala(Andre Iguodala), Andreessen Horowitz(Jeffrey Jordan), Calm Ventures, Clearsign Capital, Craft Ventures, Duro Ventures, Jonathan Hung(Jonathan Hung), Katy Perry(Katy Perry), M13, Mastry, Orlando Bloom(Orlando Bloom), Padma Lakshmi(Padma Lakshmi), Starting Line, Tiffany Haddish(Tiffany Haddish), Y Combinator</t>
  </si>
  <si>
    <t>Other Services (B2C Non-Financial)</t>
  </si>
  <si>
    <t>Klarna</t>
  </si>
  <si>
    <t>www.klarna.com</t>
  </si>
  <si>
    <t>Developer of an online payment platform designed to facilitate cashless payments through installments. The company's platform offers in-store, mobile, and online payments as well as deliveries and returns services and works on a buy now, pay later model, enabling shoppers to finance their retail purchases and make paying simple, safe and smooth.</t>
  </si>
  <si>
    <t>Aligned Ventures, Hennes &amp; Mauritz (STO: HM B)(Karl-Johan Persson)</t>
  </si>
  <si>
    <t>GetAccept</t>
  </si>
  <si>
    <t>www.getaccept.com</t>
  </si>
  <si>
    <t>Developer of a sales enablement platform intended to help sales representatives to accelerate the process from the first conversation to the signed contract. The company's platform features video, live chat, sales content, proposal design, document tracking, and e-signatures to simplify the sales process, enabling sales representatives to keep track of the real pipeline and maximize performance.</t>
  </si>
  <si>
    <t>Bessemer Venture Partners(Alex Ferrara), BootstrapLabs, DN Capital(Thomas Rubens), Luigi Congedo(Luigi Congedo), Revaia, Transpose Platform Management, Y Combinator</t>
  </si>
  <si>
    <t>Series E</t>
  </si>
  <si>
    <t>Blue Cloud Ventures, Norwest Venture Partners(Rama Sekhar)</t>
  </si>
  <si>
    <t>Sendlane</t>
  </si>
  <si>
    <t>www.sendlane.com</t>
  </si>
  <si>
    <t>Developer of a marketing automation platform designed to offer email marketing and automation services. The company's platform offers a cloud-based system for cultivating customer engagement and loyalty with personalized welcome emails and for bringing customers back with automated abandoned cart funnels, enabling companies to target subscribers and customers with appropriate emails based on their actions and generate more revenue.</t>
  </si>
  <si>
    <t>Five Elms Capital(Thomas Kershisnik)</t>
  </si>
  <si>
    <t>Zenoti</t>
  </si>
  <si>
    <t>www.zenoti.com</t>
  </si>
  <si>
    <t>Developer of cloud-based enterprise software designed to empower the beauty and wellness industry. The company's software specializes in artificial intelligence, predictive analytics and communication tools to manage reporting and analytics, inventory management, marketing and employee management, enabling businesses to eliminate long front desk lines and have omnichannel booking and contactless payments for seamless check-outs.</t>
  </si>
  <si>
    <t>Steadview Capital Management(Ravi Mehta)</t>
  </si>
  <si>
    <t>Concirrus</t>
  </si>
  <si>
    <t>www.concirrus.com</t>
  </si>
  <si>
    <t>Developer of an artificial intelligence-based marine insurance platform designed to provide behavioral insight to insurers. The company's platform uses a combination of advanced analytics, machine learning, and active risk management to solve the challenges faced by marine and automotive commercial insurance markets, enabling clients to actively manage their risks for improved commercial performance.</t>
  </si>
  <si>
    <t>AlbionVC(Robert Whitby-Smith), Eos Venture Partners(Jonathan Kalman), IQ Capital Partners(Max Bautin)</t>
  </si>
  <si>
    <t>Happy (Consumer Finance)</t>
  </si>
  <si>
    <t>www.happyness.net</t>
  </si>
  <si>
    <t>Operator of an online lending platform intended to provide loans to micro, small and medium enterprises. The company provides low ticket unsecured loans to underserved microentrepreneurs digitally and is disbursed within a day where the issued loans belong to diverse categories such as payments, agriculture, affordable housing, e-retail, invoice discounting, and dairy, enabling micro-businesses to get access to credit facilities in a simplified way.</t>
  </si>
  <si>
    <t>Sparkle Fund</t>
  </si>
  <si>
    <t>Specialized Finance</t>
  </si>
  <si>
    <t>Hivebrite</t>
  </si>
  <si>
    <t>hivebrite.com</t>
  </si>
  <si>
    <t>Developer of a community engagement platform designed to provide tools to build, manage and engage the community. The company's platform drives and measures engagement via an administration dashboard, powerful filters, and targeting tools, reporting and analytics features, and real-time communication applications, enabling businesses to offer brand engagement and create opportunities and engage users wherever they are.</t>
  </si>
  <si>
    <t>Edward Filippi(Edward Filippi), Insight Partners(Peter Sobiloff)</t>
  </si>
  <si>
    <t>Fuse Universal</t>
  </si>
  <si>
    <t>www.fuseuniversal.com</t>
  </si>
  <si>
    <t>Provider of a learning management platform intended to inspire and teach through creativity and storytelling. The company's platform combines machine learning and artificial intelligence with design tools to make way for content curation, creation and crowdsourcing that translates into engaging and effective social learning experiences, enabling clients to garner knowledge and insights from their top-performing employees in order to teach and engage with their teams worldwide.</t>
  </si>
  <si>
    <t>Eight Roads(Michael Treskow)</t>
  </si>
  <si>
    <t>Educational Software</t>
  </si>
  <si>
    <t>Cloudbeds</t>
  </si>
  <si>
    <t>www.cloudbeds.com</t>
  </si>
  <si>
    <t>Series B2</t>
  </si>
  <si>
    <t>Developer of hospitality management software designed to simplify the working life of hoteliers. The company's hospitality management software is an all-in-one hotel management system that connects hotel properties to hundreds of channels with real-time two-way integration and offers property, payment, and revenue management services, enabling the hospitality industry to make more money, save time and make guests happier</t>
  </si>
  <si>
    <t>ClearVision Equity Partners</t>
  </si>
  <si>
    <t>Jeff (Other Services (B2C Non-Financial))</t>
  </si>
  <si>
    <t>www.jeff.com</t>
  </si>
  <si>
    <t>Developer of a daily service application designed to offer laundry and dry cleaning services. The company's application allows users to place orders for dry cleaning and laundry services as well as provides laundry pick up, cleaning, and delivery in the place and time of the user's choice, enabling customers to get their clothes washed, ironed and delivered at their doorsteps.</t>
  </si>
  <si>
    <t>AddVenture(Maxim Medvedev), Alcor Ocean(Javier Rubio), All Iron Ventures(Hugo Fernández-Mardomingo), Angels Capital, Centro para el Desarrollo Tecnológico Industrial, Clave(Alberto Bermejo), FJ Labs, Intelectium Business Acceleration, Juan Roig(Juan Roig), Mana Ventures, Mundi Ventures(Yago Mendez), Nalpa</t>
  </si>
  <si>
    <t>ChowNow</t>
  </si>
  <si>
    <t>get.chownow.com</t>
  </si>
  <si>
    <t>Developer of an online food ordering platform designed to help restaurants effectively improve and maintain customer relations. The company's platform offers restaurant operators an array of benefits that include marketing services, access to data reports, and the ability to customize and update their menus, enabling restaurant operators to streamline their operations and create brand loyalty.</t>
  </si>
  <si>
    <t>3L Capital(Shawn Colo), Catalyst Investors(Tyler Newton), Convivialité Ventures, Delta-v Capital, Green Meadow Ventures, J Heart Ventures, Scott Griest</t>
  </si>
  <si>
    <t>TravelPerk</t>
  </si>
  <si>
    <t>www.travelperk.com</t>
  </si>
  <si>
    <t>Developer of an automated business travel management platform intended to book and manage business travel. The company's platform is a consumer-grade travel planning and management platform, that features a varied bookable travel inventory, customer service, reporting, dashboards, expense integrations, automated policies, approvals and flexible payments, enabling organizations to plan, book and manage business trips at one place.</t>
  </si>
  <si>
    <t>Amplo (Spring), Felix Capital(Antoine Nussenbaum), Heartcore Capital, Johannes Reck(Johannes Reck), Phoenix Court, Spark Capital(Alex Finkelstein), Target Global(Shmuel Chafets)</t>
  </si>
  <si>
    <t>Urgently</t>
  </si>
  <si>
    <t>www.geturgently.com</t>
  </si>
  <si>
    <t>Developer of a digital roadside assistance platform designed to help vehicles stuck on the road. The company's platform leverages a combination of location-based services, real-time data, Artificial Intelligence and machine-to-machine communication to serve automotive, insurance and transportation-related verticals, enabling drivers to get assistance whenever they are stuck for tow service, tire change, fuel delivery, jump start or lock-out service while on a journey without signing up or paying for a membership.</t>
  </si>
  <si>
    <t>BMW i Ventures(Kasper Sage), Emerald Technology Ventures, InMotion Ventures(Sebastian Peck), Porsche Ventures</t>
  </si>
  <si>
    <t>Kryptowire</t>
  </si>
  <si>
    <t>quokka.io</t>
  </si>
  <si>
    <t>Developer of mobile security and privacy platform intended to provide mobile security to more businesses and communities. The company's platform offers tools like marketplace security analytics, mobile brand protection, enterprise mobility, and Internet of Things (IoT) security, along with mobile vulnerability analysis, enabling organizations to scan mobile devices for security and compliance without accessing source code to save time and preserve privacy.</t>
  </si>
  <si>
    <t>Crosslink Capital(Matthew Bigge), US Venture Partners(Steven Krausz)</t>
  </si>
  <si>
    <t>Syte</t>
  </si>
  <si>
    <t>www.syte.ai</t>
  </si>
  <si>
    <t>Developer of a visual search technology designed to transform the way people search and shop for fashion online. The company's technology utilizes artificial intelligence to find desired fashion items using nothing but images by matching it up with its metadata and then finding pictures of products that are similar to it, enabling enterprises to deliver intuitive and delightful shopping experiences that drive revenues and brand loyalty.</t>
  </si>
  <si>
    <t>Axess Ventures, Commerce Ventures, KDC Media Fund, Line Ventures, Lyra Ventures, Magma Venture Partners(Shraga Katz), Naver (KRX: 035420), NHN Investment, North Base Media, Remagine Ventures, Storm Ventures, Viola Ventures(Ronen Nir)</t>
  </si>
  <si>
    <t>Teamleader</t>
  </si>
  <si>
    <t>www.teamleader.eu</t>
  </si>
  <si>
    <t>Developer of project management and invoicing platform intended to help entrepreneurs sell, bill and organize in one place. The company's platform assists in sales, project management, calendar and time tracking, invoicing and ticketing, thus, removing the daily hassle of running a business and enabling clients to save time and grow in terms of revenue.</t>
  </si>
  <si>
    <t>Fortino Capital Partners(Duco Sickinghe), Keen Venture Partners(Alexander Ribbink), PMV(Kris Vandenberk)</t>
  </si>
  <si>
    <t>Mention Me</t>
  </si>
  <si>
    <t>www.mention-me.com</t>
  </si>
  <si>
    <t>Developer of an online referral marketing platform intended to maximize the potential of refer-a-friend as a customer acquisition channel. The company's platform provides AB testing for campaign optimization, practice insights, and brand-specific tailoring, enabling clients to acquire customers by using word-of-mouth marketing.</t>
  </si>
  <si>
    <t>Eight Roads(Alston Zecha), Octopus Ventures(Uthish Ranjan), Plug and Play Tech Center</t>
  </si>
  <si>
    <t>Phenom People</t>
  </si>
  <si>
    <t>www.phenom.com</t>
  </si>
  <si>
    <t>Provider of a talent relationship marketing platform designed to help people to find jobs. The company's platform aligns the objectives, priorities, and actions of candidates, recruiters, hiring managers, and talent acquisition leaders, enabling businesses to hire efficiently for their teams.</t>
  </si>
  <si>
    <t>AXA Venture Partners(Alex Scherbakovsky), Omidyar Technology Ventures, Sierra Ventures(Tim Guleri), Sigma Prime Ventures(John Simon)</t>
  </si>
  <si>
    <t>GumGum</t>
  </si>
  <si>
    <t>www.gumgum.com</t>
  </si>
  <si>
    <t>Developer of artificial intelligence-based computer vision technology designed to unlock the value of visual content produced daily across diverse data sets. The company's technology uses machine learning and deep learning to serve contextual advertising in line with content that users are already engaged with and adds value to images and videos that are relevant to the marketers and their industry, enabling businesses to reach and engage with their audience in real-time through the power of AI-based targeting.</t>
  </si>
  <si>
    <t>CFT Capital Partners(Carey Kim), Lisa Licht(Lisa Licht), Morgan Stanley Expansion Capital(Robert Bassman), NewView Capital(David Yoo), Upfront Ventures(Mark Suster), US Venture Partners(John Hadl)</t>
  </si>
  <si>
    <t>ThreatQuotient</t>
  </si>
  <si>
    <t>www.threatq.com</t>
  </si>
  <si>
    <t>Developer of an open and extensible threat intelligence platform designed to empower security teams to respond to cyber threats. The company's platform integrates with an organization's existing processes and technologies to form a single security architecture to accelerate security operations through context, prioritization, and automation, enabling companies to identify, understand, prioritize, and act on high-priority threats faced by them based on customer-defined parameters.</t>
  </si>
  <si>
    <t>Adams Street Partners(Fred Wang), Blu Venture Investors, Cisco Investments, Escalate Capital Partners(Christopher Julich), Gaingels(Lorenzo Thione), New Enterprise Associates(Peter Barris), Parameter Ventures</t>
  </si>
  <si>
    <t>Nurx</t>
  </si>
  <si>
    <t>www.nurx.com</t>
  </si>
  <si>
    <t>Operator of a medication prescription and delivery platform intended to put women in control of their own health. The company's platform allows users to request medications such as birth control, sexual health, and more complex conditions including migraine care and dermatology as well as get delivery without the need to visit a doctor, hospital, or consult any medical professional, enabling women to have convenient, affordable, and personalized care powered by provider specialization and proprietary technology.</t>
  </si>
  <si>
    <t>Comcast Ventures(Sam Landman), GarageCapital, Kleiner Perkins, Liquid 2 Ventures, Mastry, Matthew Mazzeo(Matthew Mazzeo), McWin, Metaplanet Holdings, Samvit Ramadurgam(Samvit Ramadurgam), Tjuvholmen Ventures, Trustbridge Partners, Union Square Ventures(Andrew Weissman), Wittington Ventures, Yuri Sagalov(Yuri Sagalov)</t>
  </si>
  <si>
    <t>Clinics/Outpatient Services</t>
  </si>
  <si>
    <t>Quantexa</t>
  </si>
  <si>
    <t>www.quantexa.com</t>
  </si>
  <si>
    <t>Developer of entity resolution and network analytics technology designed to help organizations to improve operational and data-driven decisions. The company's technology connects internal and external data sets to provide a single view, enriched with intelligence about the relationships between people, places, and organizations as well as generates the context needed to automate millions of operational decisions, at scale, across multiple business units, enabling organizations to solve major challenges in financial crime, customer insight and data analytics.</t>
  </si>
  <si>
    <t>Accenture Ventures, AlbionVC(Edward Lascelles), Dawn Capital(Norman Fiore), HSBC Strategic Innovation Investments(Remi Bourrette)</t>
  </si>
  <si>
    <t>Signal AI</t>
  </si>
  <si>
    <t>www.signal-ai.com</t>
  </si>
  <si>
    <t>Operator of a media intelligence platform intended to transform decision-making through augmented intelligence. The company's platform offers media monitoring, reputation management, and regulatory compliance and uses a machine learning-powered topic classification system that lets users aggregate, analyze, and make sense of the world's data, enabling businesses to get access to actionable insights to make business decisions.</t>
  </si>
  <si>
    <t>GMG Ventures(Alan Hudson), Hearst Ventures(Megumi Ikeda), MMC Ventures(Simon Menashy), Redline Capital Management(Nicolas Giuli), VentureFounders</t>
  </si>
  <si>
    <t>MURAL</t>
  </si>
  <si>
    <t>www.mural.co</t>
  </si>
  <si>
    <t>Operator of a collaborative intelligence company committed to connecting teams to unlock their potential, increasing the innovation capacity of the enterprise. The company creates a culture of effective collaboration where everyone is connected, contributing, and empowered to deliver business-driving outcomes, helping teams of organizations, universities, schools, and non-profit organizations that depend upon a digital workspace to share ideas, understand, and solve problems, and imagine together.</t>
  </si>
  <si>
    <t>Endeavor Catalyst(Allen Taylor), Gradient Ventures(Darian Shirazi), Radian Capital(Weston Gaddy)</t>
  </si>
  <si>
    <t>OpenExchange</t>
  </si>
  <si>
    <t>www.openexc.com</t>
  </si>
  <si>
    <t>Developer of an open-source collaboration software designed to conduct virtual meetings and events in a secure and efficient manner. The company's software offers scalable and integrated open-source e-mail and collaboration tools with advanced one-to-one, one-to-many, and many-to-many video technologies and tools, enabling financial market businesses and professionals to connect securely for exchanging vital daily communications.</t>
  </si>
  <si>
    <t>GrandBanks Capital(Charles Lax), Kingfisher Investment Advisors, LaurelCrest Partners, London Stock Exchange Group (LON: LSEG), NCORE Ventures, Stonebridge Ventures</t>
  </si>
  <si>
    <t>Staffbase</t>
  </si>
  <si>
    <t>www.staffbase.com</t>
  </si>
  <si>
    <t>Developer of an application designed to improve employee communication in large and international companies. The company's platform gives the workforce better access to company information and tools for the digital workplace, enabling employers to safely reach their employees anywhere, whether in the office, at home, on the factory floor, or on the go.</t>
  </si>
  <si>
    <t>Capnamic Ventures, Headline (San Francisco), Insight Partners(Teddie Wardi), Kizoo Technology Capital</t>
  </si>
  <si>
    <t>Greenbits</t>
  </si>
  <si>
    <t>www.greenbits.com</t>
  </si>
  <si>
    <t>Developer of an easy-to-manage point of sale software designed to automatically streamline store operations and manage compliance-related matters. The company's retail management platform powered with advanced integrations designed to sync with the State API to automatically upload compliance data, sales, inventory transfers, adjustments, and taxes, enabling marijuana business houses and cannabis retailers to keep compliant with seed-to-sale regulations.</t>
  </si>
  <si>
    <t>Casa Verde Capital(Karan Wadhera), DNS Capital, Level One Fund, Phyto Partners, Tiger Global Management, Unicorn Venture Partners</t>
  </si>
  <si>
    <t>New Core Technology</t>
  </si>
  <si>
    <t>www.xinheyun.com</t>
  </si>
  <si>
    <t>Provider of IoT technology in the area of SaaS and cloud for enterprises in the manufacturing industry. The company's products include order management, automatic production scheduling, storage, and task distribution, enabling enterprises in the manufacturing industry to create smart factories and incorporate industrial big data and IoT into their system.</t>
  </si>
  <si>
    <t>Cowin Capital, IDG Capital, Northern Light Venture Capital</t>
  </si>
  <si>
    <t>Blenheim Chalcot(Manoj Badale), Frog Capital(Michael Reid), Highland Europe(Laurence Garrett)</t>
  </si>
  <si>
    <t>Eseye</t>
  </si>
  <si>
    <t>www.eseye.com</t>
  </si>
  <si>
    <t>Provider of connectivity services intended for global cellular connectivity from initial concept to global deployment. The company's technology optimizes device connectivity across 2G, 3G, or 4G cellular coverage, through connectivity, technical device services, and hardware wherever they are deployed globally and also offers over-the-air updates of device-level policies to ensure long-term connectivity, compliance, and security, enabling clients to realize the cost-saving, efficiency-driving, data-enhancing and product-innovating opportunities of over-the-air Internet of Things.</t>
  </si>
  <si>
    <t>All-Star Holding, TELUS Ventures</t>
  </si>
  <si>
    <t>Other Communications and Networking</t>
  </si>
  <si>
    <t>Antidote</t>
  </si>
  <si>
    <t>www.antidote.me</t>
  </si>
  <si>
    <t>Developer of an online healthcare platform designed to assist in clinical trials. The company's platform offers a simple search tool through which patients can find a trial that is right for them just by answering a few questions, enabling healthcare companies to bridge the gap between patients wanting to take part in clinical trials and sponsors and investigators seeking to recruit participants.</t>
  </si>
  <si>
    <t>LBO France(Franck Noiret), Merck Global Health Innovation Fund(Prem Tumkosit), Octopus Ventures(Luke Hakes), Smedvig Capital</t>
  </si>
  <si>
    <t>Other Healthcare Services</t>
  </si>
  <si>
    <t>Thought Machine</t>
  </si>
  <si>
    <t>www.thoughtmachine.net</t>
  </si>
  <si>
    <t>Developer of a cloud-native core banking platform designed to solve banking problems. The company's platform can be configured to suit the needs of any bank to update its product, user experience, operating model, and data analysis capability, enabling banks to deploy modern systems, move away from legacy IT platforms, and deliver better technology to their customers.</t>
  </si>
  <si>
    <t>Axos Capital Partners, Backed VC, Lloyds Banking Group (LON: LLOY)(Zak Mian)</t>
  </si>
  <si>
    <t>Coatue Management, Eight Roads(David Milstein), Femto Global Ventures(Tetsuya Isozaki), Kleiner Perkins, MCP Partners, Mitsubishi UFJ Capital(Muneki Handa), Mitsui &amp; Company (TKS: 8031)(Tatsuo Yasunaga), SMBC Venture Capital(Tatsufumi Ishibashi)</t>
  </si>
  <si>
    <t>LumApps</t>
  </si>
  <si>
    <t>www.lumapps.com</t>
  </si>
  <si>
    <t>Developer of a social and collaborative intranet platform designed to connect, inform and engage employees. The company's platform brings together all content in an enterprise and serves as a central hub for personalized content, social communications, work tools, and applications, enabling organizations to break down communication silos to build stronger, more collaborative relationships between individual employees and departments.</t>
  </si>
  <si>
    <t>Eurazeo (PAR: RF)(Benoist Grossmann), Idinvest Partners</t>
  </si>
  <si>
    <t>Showpad</t>
  </si>
  <si>
    <t>www.showpad.com</t>
  </si>
  <si>
    <t>Developer of a revenue enablement technology platform designed to provide every customer-facing team with the required skills, knowledge, content, and tools. The company's platform unifies sales and marketing content on a single platform, with a focus on ease in finding and presenting content for specific prospects, enabling users to quantify the value of specific marketing materials with sales prospects and customers.</t>
  </si>
  <si>
    <t>Columbia Lake Partners, Insight Partners(Jeffrey Horing), Zeno Bonduelle(Zeno Bonduelle)</t>
  </si>
  <si>
    <t>Seeq</t>
  </si>
  <si>
    <t>www.seeq.com</t>
  </si>
  <si>
    <t>Developer of a process analytics platform designed to accelerate analytics on industrial process data. The company's platform collects time-series data, events and signals, as well as related contextual data generated by production and manufacturing organizations and analyzes them to provide actionable insights, enabling clients to increase collaboration among employees to drive operational decisions.</t>
  </si>
  <si>
    <t>Altira Group(J.P. Bauman), Chevron Technology Ventures, Gaylord Kellogg(Gaylord Kellogg), John Meisenbach, Saudi Aramco Energy Ventures(Jim Sledzik), Second Avenue Partners</t>
  </si>
  <si>
    <t>Snyk</t>
  </si>
  <si>
    <t>www.snyk.io</t>
  </si>
  <si>
    <t>Developer of security analysis tools designed to identify open-source vulnerabilities. The company's platform offer tools that help to find, fix and monitor known threats in open-source dependencies, secure authoring, and consumption of open-source code, enabling enterprises and developers to use open-source without compromising security.</t>
  </si>
  <si>
    <t>Accel(Philippe Botteri), Boldstart Ventures(Edward Sim), GV, Heavybit(Tom Drummond), Oliver Thylmann(Oliver Thylmann), Sanjeev Bhalla(Sanjeev Bhalla)</t>
  </si>
  <si>
    <t>Red Points</t>
  </si>
  <si>
    <t>www.redpoints.com</t>
  </si>
  <si>
    <t>Developer of a brand and content protection software designed to detect counterfeit goods being sold online. The company's software leverages machine learning and computer vision to spot images of counterfeits or pirated media content online, enabling brands and content owners to fight back against intellectual-property infringements.</t>
  </si>
  <si>
    <t>Eight Roads(Davor Hebel), Mangrove Capital Partners(David Waroquier), Northzone Ventures(Jessica Schultz), Sabadell Venture Capital(Sergio Pérez Merino)</t>
  </si>
  <si>
    <t>Prophecy</t>
  </si>
  <si>
    <t>www.prophecy.io</t>
  </si>
  <si>
    <t>Series A1</t>
  </si>
  <si>
    <t>Developer of low-code data engineering platform created for the cloud. The company's platform replaces legacy ETL tools and accelerates the development process with interactive step-by-step development support, enabling all data users to build data pipelines visually, with modern software development practices including Git and CI/CD.</t>
  </si>
  <si>
    <t>Berkeley SkyDeck, Dig Ventures, Insight Partners(George Mathew), SignalFire(Ilya Kirnos)</t>
  </si>
  <si>
    <t>Takeoff Technologies</t>
  </si>
  <si>
    <t>www.takeoff.com</t>
  </si>
  <si>
    <t>Developer of automated grocery fulfillment system designed to fulfill orders using robots in micro fulfillment centers. The company's platform helps customers find and select products easily, enabling retailers to lower last-mile and assembly costs, giving them the flexibility they need to grow with their customers.</t>
  </si>
  <si>
    <t>Ataria Ventures, Food Retail Ventures(James McCann), Forrestal Capital, H20 Capital Innovation, IGNIA Partners(Michael Chu)</t>
  </si>
  <si>
    <t>Bolt Financial</t>
  </si>
  <si>
    <t>www.bolt.com</t>
  </si>
  <si>
    <t>Developer of a checkout experience platform designed to drive e-commerce businesses with newfound revenue. The company's platform offers shoppers to breeze through the checkout with a one-click experience that gets higher conversions without the use of passwords, usernames, or having to use personal or payment data again, enabling e-commerce businesses to convert and retain more shoppers.</t>
  </si>
  <si>
    <t>Activant Capital, Benny Joseph(Benny Joseph), Brett Jackson(Brett Jackson), Dave Heath(Dave Heath), Dreamers VC, Evan DiMeglio(Evan DiMeglio), Evolution VC Partners, Jonathan Tam(Jonathan Tam), Kelly Cooper(Kelly Cooper), Kevin Han(Kevin Han), Kevin Weinman(Kevin Weinman), Melissa Mash(Melissa Mash), Oyster Ventures, Paul Zaengle(Paul Zaengle), Ridge Ventures, RiverPark Ventures, Sand Hill Angels(Rajan Perkash), Streamlined Ventures(Ullas Naik), Tribe Capital(Arjun Sethi), Ullas Naik(Ullas Naik)</t>
  </si>
  <si>
    <t>Arrive</t>
  </si>
  <si>
    <t>www.arrive.com</t>
  </si>
  <si>
    <t>Developer of an online booking platform designed to make parking simple for today's drivers. The company's booking platform provides parking reservations and drive-up access in garages across sports teams, venues, events, travel providers, airlines, hotels, automotive original equipment manufacturer and navigation systems operated via text, voice command or embedded right into the vehicle, enabling businesses to offer transactional parking as a value-added service.</t>
  </si>
  <si>
    <t>Alate Partners(Courtney Cooper), Alumni Ventures(David Beazley), Amazon Alexa Fund(Paul Bernard), Arba Seed Investment Group, Baird Capital(Benedict Rocchio), Beringea, Chaifetz Group(Richard Chaifetz), Escalate Capital Partners, Jump Capital(Sach Chitnis), NewSpring Capital(Glenn Rieger)</t>
  </si>
  <si>
    <t>Wallaroo</t>
  </si>
  <si>
    <t>www.wallaroo.ai</t>
  </si>
  <si>
    <t>Developer of a cloud-based data processing AI platform intended to simplify the deployment of real-time applications. The company's software eliminates infrastructure problems, facilitates rapid iteration and testing, and is used to run real-time applications to process large volumes of data while being agnostic to infrastructure and scale, enabling data engineers, architects, and providers of data infrastructure to improve outpatient monitoring, real-time bidding and risk profiling, turning data into business results faster, easier, and with a far lower investment.</t>
  </si>
  <si>
    <t>Aperiam Ventures, Boldstart Ventures(Edward Sim), Contour Venture Partners(Owen Davis), Eniac Ventures, Fiftysix Investments, GoingVC Partners, Greycroft, M12(Priyanka Mitra), Ridgeline Partners(Andrew McMahon), Same Page Capital</t>
  </si>
  <si>
    <t>Lightbend</t>
  </si>
  <si>
    <t>www.lightbend.com</t>
  </si>
  <si>
    <t>Provider of a reactive application development platform designed to build high-performance applications that are message-driven, elastic, resilient, and responsive. The company's reactive application development platform is powered by an open-source core and commercial enterprise suite for building scalable reactive systems on the JVM on an annual subscription, enabling customers to scale on multi-core and cloud computing architectures.</t>
  </si>
  <si>
    <t>Bain Capital Ventures(William Lehmann), Blue Cloud Ventures, Dell Technologies Capital(Tyler Jewell), Greylock Partners, Intel Capital(Sunil Kurkure), International Business Machines (NYS: IBM), Juniper Networks., Justin Lee(Justin Lee), Shasta Ventures(Ravi Mohan), USAA Corporate Development</t>
  </si>
  <si>
    <t>Glassbox (TAE: GLBX)</t>
  </si>
  <si>
    <t>www.glassbox.com</t>
  </si>
  <si>
    <t>Glassbox Ltd is developing software for analyzing surfing data in digital channels.</t>
  </si>
  <si>
    <t>CEIIF, Gefen Capital, Ibex Investors(Elan Zivotofsky), Updata Partners(Carter Griffin)</t>
  </si>
  <si>
    <t>6 River Systems</t>
  </si>
  <si>
    <t>www.6river.com</t>
  </si>
  <si>
    <t>Developer of a mobile robot and software designed to redefine fulfillment automation for e-commerce and retail operations. The company's turnkey fulfillment software leverages system-directed workflow to make new associate onboarding instantaneous and helps to realize pick rates at half the cost of warehouse investments of the past, enabling retailers and manufacturers to increase warehouse productivity and reduced training costs.</t>
  </si>
  <si>
    <t>Eclipse Ventures(Lior Susan), iRobot Ventures(Hanns Anders), Menlo Ventures(Matthew Murphy), Norwest Venture Partners(Matthew Howard)</t>
  </si>
  <si>
    <t>Other Hardware</t>
  </si>
  <si>
    <t>JMI Equity(Robert Nye)</t>
  </si>
  <si>
    <t>Teckro</t>
  </si>
  <si>
    <t>www.teckro.com</t>
  </si>
  <si>
    <t>Developer of a clinical trial software platform designed to connect all study stakeholders via a digital engagement platform. The company's platform helps to partner with pharmaceutical and biotech companies, and research institutions to simplify the clinical development process by using information retrieval and machine learning technologies to improve the speed and accuracy of trial conduct, enabling researchers to connect the entire study teams and streamline the research process.</t>
  </si>
  <si>
    <t>Northpond Ventures(Michael Rubin), Section 32</t>
  </si>
  <si>
    <t>Q-CTRL</t>
  </si>
  <si>
    <t>www.q-ctrl.com</t>
  </si>
  <si>
    <t>Developer of quantum control infrastructure software designed to overcome hardware error and instability across various applications of quantum technology. The company's quantum computing tools are designed for R&amp;D professionals and quantum computing end users, thereby helping drive performance improvements through AI-driven error suppression embedded within quantum algorithms.</t>
  </si>
  <si>
    <t>Airbus Ventures(Lewis Pinault), DCVC, Horizons Ventures(Jonathan Tam), In-Q-Tel, Main Sequence Ventures(Phil Morle), Ridgeline Partners(Ryan Clinton), Sequoia Capital China, Sierra Ventures, Square Peg Ventures</t>
  </si>
  <si>
    <t>Aquicore</t>
  </si>
  <si>
    <t>www.aquicore.com</t>
  </si>
  <si>
    <t>Developer of a data and analytics platform designed to accelerate the decarbonization of real estate. The company's platform supports the real estate institutions
in collecting data, benchmarking and reporting ESG performance, and achieving energy and emissions targets portfolio-wide, enabling businesses to identify building leaders and laggards and get recommended savings projects that accelerate progress to their energy reduction targets.</t>
  </si>
  <si>
    <t>A/O PropTech, Advisors.Fund, Fifth Wall</t>
  </si>
  <si>
    <t>Trainual</t>
  </si>
  <si>
    <t>www.trainual.com</t>
  </si>
  <si>
    <t>Developer of a training and process management software designed to integrate every process, policy and procedure together into one simple system. The company's platform includes automated onboarding and training, custom branding, built-in screen recording and connecting other applications, enabling Small and growing businesses to optimize, onboard and train new employees faster.</t>
  </si>
  <si>
    <t>4490 Ventures(Gregory Robinson), Altos Ventures, David Sipes(David Sipes), Daymond John(Daymond John), MATH Venture Partners, Matthias Rissell(Matthias Rissell), Mikita Mikado(Mikita Mikado), PHX Ventures, Rony Kahan(Rony Kahan)</t>
  </si>
  <si>
    <t>Bain Capital Ventures, DCVC(Matthew Ocko), Harmony Partners(Clemens Baumgart), StepStone Group (NAS: STEP), Triangle Peak Partners(Tyler Peterson), True Ventures(Puneet Agarwal)</t>
  </si>
  <si>
    <t>JDSC (TKS: 4418)</t>
  </si>
  <si>
    <t>www.jdsc.ai</t>
  </si>
  <si>
    <t>Japan Data Science Consortium Co Ltd is engaged in the development and licensing business of machine learning and artificial intelligence algorithm modules, and development and operations business of IT systems.</t>
  </si>
  <si>
    <t>Chubu Electric Power (Corporate Venture Capital), Daikin Industries (TKS: 6367), Deep30, MCP Partners, Mitsubishi UFJ Capital, SMBC Venture Capital, SPARX Group Company (TKS: 8739), The University of Tokyo Edge Capital(Noriaki Sakamoto)</t>
  </si>
  <si>
    <t>IT Consulting and Outsourcing</t>
  </si>
  <si>
    <t>XEMPUS</t>
  </si>
  <si>
    <t>www.xempus.com</t>
  </si>
  <si>
    <t>Developer of a financial technology designed to digitize occupational pension schemes and life insurance. The company's technology offers features user-friendly information and customer journeys, transparent, and efficient processes, and a single platform to connect all stakeholders, enabling life insurers, insurance agents, corporates, and consumers to buy and manage pension and life insurance online.</t>
  </si>
  <si>
    <t>Armada Investment(Daniel Aegerter), Cinco Capital(Lars Hinrichs), Daniel Gutenberg(Daniel Gutenberg), HPE Growth(Tim Van Delden), TempoCap, VAS Ventures</t>
  </si>
  <si>
    <t>Blank</t>
  </si>
  <si>
    <t>www.blankcorp.kr</t>
  </si>
  <si>
    <t>Operator of a media commerce platform intended to sell its pet products, and beauty &amp; wellness. The company's platform uses social media and publicity videos to sell its products, enabling consumers to have access to its variety of personal product brands in an effective way.</t>
  </si>
  <si>
    <t>SBI Investment Korea Company (KRX: 019550), Union Investments</t>
  </si>
  <si>
    <t>Particle (Business/Productivity Software))</t>
  </si>
  <si>
    <t>www.particle.io</t>
  </si>
  <si>
    <t>Developer of an Internet of Things (IoT) platform designed to gain insights into operations, accelerate productivity, and build new revenue streams. The company's platform remotely monitors your IoT devices with end-to-end visibility, send commands and check device variables, and monitor the location and environment of business-critical assets, enabling companies to reprogram their businesses for good and bring IoT products to market easily.</t>
  </si>
  <si>
    <t>Bonfire Ventures, Cito Ventures, Counterpart Ventures(Patrick Eggen), Qualcomm Ventures(Carlos Kokron), Spark Capital(Andrew Parker)</t>
  </si>
  <si>
    <t>Immedis</t>
  </si>
  <si>
    <t>www.immedis.com</t>
  </si>
  <si>
    <t>Developer of a cloud-based payroll platform designed to deliver accurate payroll processing for every pay run. The company's platform offers perpetual validation using Artificial Intelligence and Robotic Process Automation (RPA) and quickly identifies issues in real-time, enabling clients to protect their business with safe and secure cross-border payment processing.</t>
  </si>
  <si>
    <t>Scottish Equity Partners(Keith Davidson)</t>
  </si>
  <si>
    <t>Yousician</t>
  </si>
  <si>
    <t>www.yousician.com</t>
  </si>
  <si>
    <t>Developer of a music learning platform designed to help users to learn a musical instrument. The company's platform offers songs, exercises, and teacher-crafted lessons in one application to play and create music, enabling users to learn various instruments like the guitar, piano, and ukulele with their favorite songs.</t>
  </si>
  <si>
    <t>Amazon Alexa Fund, Anne Badan(Anne Badan), Bryan Meehan(Bryan Meehan), David Helgason(David Helgason), Foobar Technologies, Jason Calacanis(Jason Calacanis), Jeff Leven(Jeff Leven), LAUNCH Fund, Mark Pincus(Mark Pincus), Moaffak Ahmed(Moaffak Ahmed), MPL Ventures, Rolf Schrömgens(Rolf Schrömgens), True Ventures(Jonathan Callaghan), WorkPlay Ventures</t>
  </si>
  <si>
    <t>CloudPassage</t>
  </si>
  <si>
    <t>www.cloudpassage.com</t>
  </si>
  <si>
    <t>Developer of cloud security and compliance platform intended to automate security and compliance controls in any public, private, hybrid and multi-cloud environment. The company's platform delivers a comprehensive set of security and compliance capabilities that replaces single-function point services and provides alternatives that are different in its ability to support server-based, containerized and serverless compute models, enabling global enterprises to embrace speed, flexibility and other benefits of modern computing models.</t>
  </si>
  <si>
    <t>Kent Erickson, Louis Toth, Rand Wacker, TriplePoint Capital</t>
  </si>
  <si>
    <t>FretLink</t>
  </si>
  <si>
    <t>www.fretlink.com</t>
  </si>
  <si>
    <t>Developer of a software-as-a-service platform intended to aid in the transportation of goods and commodities. The company's platform connects shippers and carriers via a smartphone or mobile application and also provides assistance to handle logistics intermediaries so the cost incurred is less, enabling organizations to facilitate the logistics process handling with one single transparent platform which optimizes and standardizes the process for everyone.</t>
  </si>
  <si>
    <t>Breega, Daphni(Willy Braun), Edenred Capital Partners, Elaia Partners(Samantha Jérusalmy), Fabrice Grinda, FJ Labs, SAP.iO, SGH Capital(Alexandre Azoulay), Tekton Ventures, The Family [Consulting Services (B2B)], TIP Trailer Services, Tomcat Capital, Weaving Invest</t>
  </si>
  <si>
    <t>Amery Capital, Cipio Partners(Roland Dennert), Notion(Christopher Tottman), Rory Stirling(Rory Stirling), The Sage Group (LON: SGE)(Lee Perkins), VentureFounders, Verdane(Emanuel Johnsson), Volution Ventures</t>
  </si>
  <si>
    <t>VNG (Software Development Applications)</t>
  </si>
  <si>
    <t>www.vng.com.vn</t>
  </si>
  <si>
    <t>Operator of an internet and technology company intended to build technologies and focus on people development for advanced life. The company focuses on digital content, online entertainment, social network, e-commerce payment and finance, and cloud, that satisfies different needs, enabling users to have rich and simple experiences by utilizing the digital content platform.</t>
  </si>
  <si>
    <t>Temasek Holdings</t>
  </si>
  <si>
    <t>Entertainment Software</t>
  </si>
  <si>
    <t>All Iron Ventures, Atomico(Carolina Brochado), Cathay Capital Private Equity, Cathay Innovation(Jacky Abitbol), GP Bullhound(Per Roman), Idinvest Partners(Louis Bô), Point Nine Capital, Samaipata(Jose del Barrio), TotalEnergies Ventures</t>
  </si>
  <si>
    <t>Itsme</t>
  </si>
  <si>
    <t>www.itsme.be</t>
  </si>
  <si>
    <t>Developer of a digital authentication software intended to digitally verify identity. The company's platform offers login and confirmation of online payments, access to online government applications, signing of official documents digitally as well as assigning a unique ID to confirm orders, providing users privacy while browsing through online portals.</t>
  </si>
  <si>
    <t>Belfius Bank, BNP Paribas Fortis, Federal Holding and Investment Company, ING Belgium, KBC Bank, Orange (PAR: ORA), Proximus (Telecommunications Service Providers) (BRU: PROX), Shaon Rahman(Shaon Rahman), Telenet</t>
  </si>
  <si>
    <t>Operating Systems Software</t>
  </si>
  <si>
    <t>GrubMarket</t>
  </si>
  <si>
    <t>www.grubmarket.com</t>
  </si>
  <si>
    <t>Developer of a business-to-business (B2B) eCommerce and software platform designed to make fresh and healthy food accessible to everyone. The company works with a variety of farms and artisan producers to bring high-quality foods, providing consumers with delicious food at discounted prices.</t>
  </si>
  <si>
    <t>ACE &amp; Company, Alumni Ventures(Gregory Baker), Arancia, CentreGold Capital, DG Ventures (Digital Garage Group), Evolv Ventures(Stephen Sanger), Fusion Fund(Lu Zhang), GGV Capital(Hans Tung), Half Dome Ventures, IOVC, Ten Eighty Capital, University Growth Fund, WI Harper Group</t>
  </si>
  <si>
    <t>Specialty Retail</t>
  </si>
  <si>
    <t>AllianceBernstein (NYS: AB)(Abhishek Sud), AXA Venture Partners(Alex Scherbakovsky), Karlani Capital(Nooruddin Karsan), Omidyar Technology Ventures, seed + speed Ventures, Sierra Ventures(Tim Guleri), Sigma Prime Ventures(John Simon), WestBridge Capital Partners</t>
  </si>
  <si>
    <t>Celsius Network</t>
  </si>
  <si>
    <t>celsius.network</t>
  </si>
  <si>
    <t>Developer of an online financial platform designed to facilitate secure digital trading of assets. The company's platform democratizes interest income and the lending platform provides access to curated financial services to its members that are not available through traditional financial institutions while offering interest on the deposits in the company's digital wallet, enabling businesses to have access to a new way to earn, borrow, and pay on the blockchain.</t>
  </si>
  <si>
    <t>Alpha Sigma Capital, Basis Vectors, Exnetwork Capital, gumi Cryptos Capital(Miko Matsumura), Rhodium, Tether (Hong Kong), Tokentus (MUN: 14D)</t>
  </si>
  <si>
    <t>WorkBoard</t>
  </si>
  <si>
    <t>www.workboard.com</t>
  </si>
  <si>
    <t>Developer of an enterprise result management platform designed to automate business reviews and execute quick decisions for growth. The company's platform helps to localize, activate and execute strategic priorities fast and efficiently and provides coaching to rapidly localize strategy through the organization so that everyone is engaged on its quarterly results, enabling clients to sustain strategic and operational advantages within the business in order to improve the performance in the market.</t>
  </si>
  <si>
    <t>Andreessen Horowitz(David Ulevitch), GGV Capital(Jeff Richards), M12(Nagraj Kashyap), Workday Ventures</t>
  </si>
  <si>
    <t>SignalWire</t>
  </si>
  <si>
    <t>www.signalwire.com</t>
  </si>
  <si>
    <t>Developer of an open-source enterprise communication platform intended to build the core technology for communication products, applications, or enterprise infrastructure. The company's platform utilizes web socket protocol and offers simultaneous bidirectional data transmission and elastic communications cloud with an application programming interface for voice, text, and video, enabling developers to develop applications and technical products quicker on a managed elastic framework.</t>
  </si>
  <si>
    <t>Bogomil Balkansky(Bogomil Balkansky), Chih-Yuan Yang(Chih-Yuan Yang), CloudScale Capital Partners, Dean Drako(Dean Drako), Deutsche Telekom (ETR: DTE), DTCP, Jesse Robbins(Jesse Robbins), Luis Robles(Luis Robles), Prosperity7 Ventures(Daniel Carter), Samsung NEXT Ventures, Simone Brunozzi(Simone Brunozzi), Somik Behera(Somik Behera), Storm Ventures(Ryan Floyd), T-Mobile Ventures, Tim Lee(Tim Lee), Vision Capital Group</t>
  </si>
  <si>
    <t>Forto</t>
  </si>
  <si>
    <t>www.forto.com</t>
  </si>
  <si>
    <t>Developer of a digital freight forwarder and shipping management platform designed to manage logistics. The company's freight forwarder and digital interface platform manages all past, current, and future freight shipments and helps companies to keep track of missing documents, upload all necessary files and store them for future use, enabling logistic service providers to book and manage global freight shipments online without any additional costs.</t>
  </si>
  <si>
    <t>Cavalry Ventures, Cherry Ventures, Global Founders Capital, JPKE, Lukas Brosseder(Lukas Brosseder), Maersk Growth(Jeppe Høier), Northzone Ventures, Rider Global, Robert Lacher(Robert Lacher), Unbound (London)</t>
  </si>
  <si>
    <t>Netomi</t>
  </si>
  <si>
    <t>www.netomi.com</t>
  </si>
  <si>
    <t>Developer of artificial intelligence-based customer service platform designed to discover the power of one-to-one relationships across the entire customer journey. The company's platform automatically resolves routine customer service inquiries, decreasing resolution time, and increasing customer satisfaction and support quality, enabling companies to deliver seamless customer experiences while significantly reducing costs.</t>
  </si>
  <si>
    <t>Eldridge (Greenwich), Fin Capital(Logan Allin), WndrCo(ChenLi Wang)</t>
  </si>
  <si>
    <t>Decisiv</t>
  </si>
  <si>
    <t>www.decisiv.com</t>
  </si>
  <si>
    <t>Developer of a cloud-based supply relationship management (SRM) software designed to accelerate the maintenance of commercial assets. The company's platform delivers real-time event visibility, connects the service supply chain to allow real-time communication and collaboration, and ensures service event management consistency, among others, enabling clients to reduce triage and downtime improving the efficiency and productivity of the entire service supply chain.</t>
  </si>
  <si>
    <t>Kayne Anderson Capital Advisors(Leon Chen)</t>
  </si>
  <si>
    <t>Zeta</t>
  </si>
  <si>
    <t>www.zeta.tech</t>
  </si>
  <si>
    <t>Developer of a fintech platform designed to offer employee expense management, corporate gifting, and co-branded debit and credit cards. The company's platform provides a cloud-based neo-banking platform to enterprises, allowing them to issue co-branded debit, credit, and prepaid products to employees as well as manage employee benefits and allowances, enabling companies to have greater employee engagement through retail and corporate products.</t>
  </si>
  <si>
    <t>MasterCard (NYS: MA)(Sandeep Malhotra)</t>
  </si>
  <si>
    <t>SeQura</t>
  </si>
  <si>
    <t>www.sequra.es</t>
  </si>
  <si>
    <t>Developer of an e-commerce payment application designed to assist e-retailers in securing the certainty of payment. The company's platform lets consumers purchase products online and pays for the same after getting the delivery and usage of the product, enabling e-retailers to have easy access to invoices without having to bear excessive credit risk or taking on extensive financial administration, just by accessing a simple API.</t>
  </si>
  <si>
    <t>Svea Ekonomi</t>
  </si>
  <si>
    <t>Benevity</t>
  </si>
  <si>
    <t>www.benevity.com</t>
  </si>
  <si>
    <t>Developer of corporate social responsibility (CSR) and employee engagement software created to empower socially conscious brands to make a real difference. The company's employee engagement software offers online volunteering and integrated grant management services, allows businesses to engage with their people, unify company culture across a global context and connect corporate values with communities in need, enabling clients to build a positive workplace culture, amplify the impact of corporate giving and power pro-social brand engagement.</t>
  </si>
  <si>
    <t>General Atlantic(Alex Crisses), JMI Equity(Robert Nye)</t>
  </si>
  <si>
    <t>Garrison (Network Management Software)</t>
  </si>
  <si>
    <t>www.garrison.com</t>
  </si>
  <si>
    <t>Developer of cybersecurity technology designed to protect against targeted cyberattacks. The company's technology offers effective fundamental security challenges for enterprise and cloud computing that eradicates the cyber risk that of web-borne threats such as malware, phishing attacks, and drive-by downloads, enabling users to access all content on the web, secure browsing, VDI, and secure data transfer.</t>
  </si>
  <si>
    <t>BGF, Dawn Capital(Norman Fiore), IP Group (LON: IPO)(Jonathan Edington), NM Capital (London)</t>
  </si>
  <si>
    <t>STORD</t>
  </si>
  <si>
    <t>www.stord.com</t>
  </si>
  <si>
    <t>Developer of a digital warehousing and distribution network designed to offer true visibility and control over inventory. The company's distribution network uses a cloud-based software platform that builds intelligent, optimized, and self-correcting supply chains via a one-time integration, while an elastic network of warehouses and transportation services ensures every order is picked up, packed, and delivered on time from the port to porch, thereby enabling clients to orchestrate and optimize inventory and orders across their logistics network.</t>
  </si>
  <si>
    <t>B Capital Group(Karen Page), BoxGroup, Dynamo Ventures, Founders Fund(Trae Stephens), GoodFriends(Jeffrey Raider), Kleiner Perkins(Ilya Fushman), Susa Ventures</t>
  </si>
  <si>
    <t>Finbourne</t>
  </si>
  <si>
    <t>www.finbourne.com</t>
  </si>
  <si>
    <t>Operator of an investment data platform designed to reduce the cost of investing and increase transparency. The company offers an open, scalable and utility-based cloud-based platform that provides investment data storage and secures a full history of every transaction and adjustment the company makes, as well as offers powerful interrogation capabilities, providing businesses with data systems to enhance utility and information, simplify user access and reduce operating and capital costs.</t>
  </si>
  <si>
    <t>Fidelity International Strategic Ventures(Alokik Advani), Hedosophia</t>
  </si>
  <si>
    <t>Form3</t>
  </si>
  <si>
    <t>www.form3.tech</t>
  </si>
  <si>
    <t>Developer of a cloud-based payment technology platform designed to offer payment processing, clearing, and settlement services. The company's platform facilitates agency payment services that can be accessed through an application program interface on a per transaction commercial model with no upfront costs, enabling financial institutions and businesses to get reliable and secure access to various payment schemes and bank partnerships.</t>
  </si>
  <si>
    <t>83North, Lloyds Banking Group (LON: LLOY)(Otto Benz), Molten Ventures (LON: GROW)(Vinoth Jayakumar), NBS Ventures</t>
  </si>
  <si>
    <t>Cloopen (NYS: RAAS)</t>
  </si>
  <si>
    <t>www.yuntongxun.com</t>
  </si>
  <si>
    <t>Cloopen Group Holding Ltd offers cloud-based communications solutions, according to the same source, covering communications platform as a service, or CPaaS, cloud-based contact centers, or cloud-based CC, and cloud-based unified communications and collaborations, or cloud-based UC&amp;C. The company serves a customer base consisting of enterprises across a variety of industries, including internet, telecommunications, financial services, education, industrial manufacturing, and energy.</t>
  </si>
  <si>
    <t>Prospect Avenue Capital, Sequoia Capital China(Qingsheng Zheng), Vitalbridge Capital</t>
  </si>
  <si>
    <t>Vita Mojo</t>
  </si>
  <si>
    <t>www.vitamojo.com</t>
  </si>
  <si>
    <t>Developer of a digital ordering and restaurant management system designed to enhance the digital evolution of restaurants. The company's platform allows users to customize the menu and control and manage orders across all channels, including delivery marketplaces, enabling hospitality businesses to tackle staffing shortages with digital ordering and attract more customers.</t>
  </si>
  <si>
    <t>Battery Ventures(Morad Elhafed), Teepee Capital</t>
  </si>
  <si>
    <t>Bold Penguin</t>
  </si>
  <si>
    <t>www.boldpenguin.com</t>
  </si>
  <si>
    <t>Operator of a commercial insurance exchange portal intended to connect customers, agents and carriers to match the right quote in record time. The company's portal upgrades the user experience for businesses, creates a tool for agents and offers a streamlined process of underwriting for carriers, enabling agents and carriers to reduce the time taken to find, quote and bind commercial insurance policies.</t>
  </si>
  <si>
    <t>Clear Spring Life and Annuity Company, Hudson Structured Capital Management, Lockton Companies, QBE Ventures, Stone Point Capital, Tribeca Early Stage Partners</t>
  </si>
  <si>
    <t>FingerprintJS</t>
  </si>
  <si>
    <t>www.fingerprint.com</t>
  </si>
  <si>
    <t>Developer of application programming interface designed for fraud detection in the modern web. The company's API disidentifies the fingerprint from a specific device by generating a unique identifier of a browser without using cookies and allows users to detect account fraud, ensure trading, exchange and transfer operations are safe, enabling clients to stop malicious users and catch users to trying to break into the systems.</t>
  </si>
  <si>
    <t>Craft Ventures, Nexus Venture Partners(Abhishek Sharma), Uncorrelated Ventures</t>
  </si>
  <si>
    <t>AdenaSoft</t>
  </si>
  <si>
    <t>www.adenasoft.com</t>
  </si>
  <si>
    <t>Developer of financial software designed to seamlessly integrate IT and finance. The company's software develops and distributes online operations, customer relationship management, foreign exchange trading, cryptocurrency trading, and risk management services, enabling financial services businesses to operate in a worry-free IT environment.</t>
  </si>
  <si>
    <t>Atinum Investment (KRX: 021080), Company K Partners (KRX: 307930), Grayhawk Capital, InterValue Partners, Korea Investment &amp; Securities, Korea Investment Partners, Premier Partners(David Oh), Timefolio Asset Management</t>
  </si>
  <si>
    <t>BP Ventures(Daniela Proske), Mitsubishi (TKS: 8058)(Takehiko Kakiuchi), Mitsui Fudosan (TKS: 8801), NordicNinja VC</t>
  </si>
  <si>
    <t>Foursquare</t>
  </si>
  <si>
    <t>www.foursquare.com</t>
  </si>
  <si>
    <t>Developer of a location technology platform designed to improve the way people move through the real world. The company's platform leverages a deep understanding of location intelligence to open valuable insights about customers, enabling brands to understand and connect to targeted audiences while measuring foot traffic and advertising success.</t>
  </si>
  <si>
    <t>Naver (KRX: 035420), Simon Ventures, Union Square Ventures(Albert Wenger)</t>
  </si>
  <si>
    <t>Matillion</t>
  </si>
  <si>
    <t>www.matillion.com</t>
  </si>
  <si>
    <t>Developer of cloud-based data integration technologies designed to help customers extract, load and transform data into and on cloud-based data warehouses.
The company leverages the power of cloud data warehouses to consolidate large data sets and perform the necessary data transformations that make the data analytics-ready, enabling customers to extract data from a wide number of sources and transform it into ready-to-use cases.</t>
  </si>
  <si>
    <t>10X CEO(Brian Gentile), Battery Ventures(Dharmesh Thakker), Dharmesh Thakker(Dharmesh Thakker), Sapphire Ventures(Andreas Weiskam), Scale Venture Partners(Andy Vitus)</t>
  </si>
  <si>
    <t>Benchling</t>
  </si>
  <si>
    <t>www.benchling.com</t>
  </si>
  <si>
    <t>Developer of a lab collaboration platform designed to make life science research faster and more collaborative. The company's platform specializes in offering a suite of natively unified applications that accelerate research and development at all levels and where scientists can design, share and record experiments as well as share DNA-sequence data in the cloud, enabling researchers to accelerate, measure and forecast research and development from discovery to bioprocessing all in one place.</t>
  </si>
  <si>
    <t>Benchmark (San Francisco)(Eric Vishria), Lead Edge Capital, Menlo Ventures(Matthew Murphy), Thrive Capital(Miles Grimshaw), Y Combinator</t>
  </si>
  <si>
    <t>Encompass (Business/Productivity Software)</t>
  </si>
  <si>
    <t>www.encompasscorporation.com</t>
  </si>
  <si>
    <t>Developer of analytics software designed to transform regulatory compliance and customer onboarding for firms. The company's software provides analytic aggregation software that reduces the cost and creates visual analytics products for lawyers and insolvency practitioners, financial services, legal, corporate insolvency, and asset-based lending firms, enabling clients to gain insight into corporate, personal, and property data in order to help address issues such as money laundering and KYC regulations.</t>
  </si>
  <si>
    <t>Alan McIntyre(Alan McIntyre), Microequities Asset Management (ASX: MAM), Perennial Partners (Funds and Trusts), Ray Scott(Ray Scott), Serendipity Capital(Sean Harpur), Seven Seat Capital, Tim Frost(Tim Frost)</t>
  </si>
  <si>
    <t>VoxSmart</t>
  </si>
  <si>
    <t>www.voxsmart.com</t>
  </si>
  <si>
    <t>Developer of a communications surveillance platform designed to manage business risk and meet regulatory requirements. The company's platform captures employee communications, both voice and electronic, wherever they are working, and turns the data this generates into useful information about employees', enabling users to understand employees' business conduct, operations, and opportunities helping them to smarter business decisions.</t>
  </si>
  <si>
    <t>NatWest Commercial Services(Kit Maclaren), Toscafund Asset Management(George Koulouris)</t>
  </si>
  <si>
    <t>Route</t>
  </si>
  <si>
    <t>www.route.com</t>
  </si>
  <si>
    <t>Developer of a shipping platform designed to protect and track freight. The company's platform eliminates shipping pains and increases brand loyalty by tracking all online purchases, thus providing customers with a reimbursement if the product never shows up, gets broken in transit, or is stolen from their porch.</t>
  </si>
  <si>
    <t>137 Ventures, 75 &amp; Sunny, Banner Ventures(Tanner Ainge), Craft Ventures, Upfront Ventures(Gregory Bettinelli)</t>
  </si>
  <si>
    <t>Shipwell</t>
  </si>
  <si>
    <t>www.shipwell.com</t>
  </si>
  <si>
    <t>Developer of a next-generation freight shipping platform designed to manage truckload jobs for carriers and independent owners or operators. The company's platform makes the job effortless and fair for the trucker while offering competitive rates, industry-leading analytics, and instantaneous tracking for the shipper, enabling businesses to search transportation capacity, instant quote, book, and track freight shipments.</t>
  </si>
  <si>
    <t>Acrew Capital, Aspect Ventures, BoxGroup, Fifth Wall(Vik Chawla), Georgian(Tyson Baber), Global Founders Capital(Donald Stalter)</t>
  </si>
  <si>
    <t>FourKites</t>
  </si>
  <si>
    <t>www.fourkites.com</t>
  </si>
  <si>
    <t>Developer of a predictive supply chain platform intended to track the shipment location and proactively manage exceptions. The company's platform predicts when shipments will arrive at scheduled stops, monitors load temperatures, and processes actionable supply chain data from trucks and trailers to cargo ships, thereby enabling businesses to lower their operating costs, improve on-time performance, and strengthen their customer relationships.</t>
  </si>
  <si>
    <t>August Capital(Eric Carlborg), Bain Capital Ventures(Ajay Agarwal), Hyde Park Angels, Hyde Park Venture Partners(Ira Weiss)</t>
  </si>
  <si>
    <t>Cymulate</t>
  </si>
  <si>
    <t>www.cymulate.com</t>
  </si>
  <si>
    <t>Developer of security posture management designed to map to all adversary tactics and techniques. The company's rapid-deployment continuous security validation platform helps to validate and optimize enterprises as well as control their cybersecurity posture end-to-end, allowing security operators and commanders to challenge, assess, and prevent environmental security drift.</t>
  </si>
  <si>
    <t>Dell Technologies Capital(Yair Snir), One Peak Partners(David Klein), Susquehanna Growth Equity(Jonathan Klahr), Vertex Growth(Hock Tam), Vertex Ventures Israel(Emanuel Timor)</t>
  </si>
  <si>
    <t>Tango Card</t>
  </si>
  <si>
    <t>www.tangocard.com</t>
  </si>
  <si>
    <t>Provider of a reward delivery platform intended to feasibly send and track rewards and gifts to the customers and employees. The company's platform enables the integration of gift cards and digital goods for companies who intend to send rewards to their customers, partners, and employees, enabling clients to target customer engagement and employee retention and get the most out of their reward programs.</t>
  </si>
  <si>
    <t>FTV Capital(Christopher Winship)</t>
  </si>
  <si>
    <t>Other Commercial Services</t>
  </si>
  <si>
    <t>Innovaccer</t>
  </si>
  <si>
    <t>www.innovaccer.com</t>
  </si>
  <si>
    <t>Developer of a data activation platform designed to assist healthcare organizations to activate their data silos. The company's platform aggregates analyze and activate patient data, enabling healthcare organizations to have patient insights right in the moment of care and offer each patient private, customized care with suitable plans, a dedicated team, and outcome-focused goals.</t>
  </si>
  <si>
    <t>Lightspeed India Partners(Devtosh Khare), Lightspeed Venture Partners, M12(Rashmi Gopinath), WestBridge Capital Partners(Sumir Chadha)</t>
  </si>
  <si>
    <t>HealthBeacon (DUB: HBCN)</t>
  </si>
  <si>
    <t>www.healthbeacon.com</t>
  </si>
  <si>
    <t>HealthBeacon PLC is a digital therapeutics company that develops products for managing injectable medications for patients in the home. Its Injection Care Management System tracks adherence and persistence with medication schedules through the provision of medication management reminders, safe and sustainable sharps disposal devices, educational tools, and artificial intelligence-driven data analytics. It has two operating segments: Direct-to-Consumer and Patient Support Programmes.</t>
  </si>
  <si>
    <t>Crow Rock Capital, Davycrest Nominees, Elkstone Partners, Enterprise Ireland</t>
  </si>
  <si>
    <t>Gorgias</t>
  </si>
  <si>
    <t>www.gorgias.com</t>
  </si>
  <si>
    <t>Developer of multi-channel helpdesk platform designed for e-commerce businesses to manage all customer support in one application. The company's platform combines machine learning and integrations with the tools to automatically suggest and solve support requests as well as create templates and shortcuts to an auto-expand small snippet of text into a polite support answer, enabling customer support agents to have access to an artificial intelligence-powered help desk that makes them efficient at answering customer's problems.</t>
  </si>
  <si>
    <t>Alven Capital Partners(François Meteyer), Amplify Partners, CRV, FJ Labs, Greycroft, Guillaume Cabane(Guillaume Cabane), Kortschak Investments, SaaStr(Jason Lemkin), Sapphire Ventures(Rajeev Dham), World Innovation Lab(Robert Theis)</t>
  </si>
  <si>
    <t>Ninjacart</t>
  </si>
  <si>
    <t>www.ninjacart.in</t>
  </si>
  <si>
    <t>Operator of an agricultural marketing and supply chain platform intended to streamline the fresh produce supply chain. The company's platform leverages data science, infrastructure, and networks to connect farmers directly to businesses and end retailers such as grocery stores as well as allows them to personally interact with the local manager to meet store-specific needs, enabling merchants to source fresh farm produce directly from farmers in less time and in a cost-effective way.</t>
  </si>
  <si>
    <t>Accel(Subrata Mitra), Accel India Ventures, Hartmann Holdings, Mistletoe, Nandan Nilekani(Nandan Nilekani), Qualcomm Ventures(Varsha Tagare), Syngenta Group Ventures(Shubhang Shankar), Trifecta Capital Partners</t>
  </si>
  <si>
    <t>Wunderkind (Business/Productivity Software)</t>
  </si>
  <si>
    <t>www.wunderkind.co</t>
  </si>
  <si>
    <t>Operator of a cloud-based behavioral marketing platform intended to offer programmatic advertisements. The company's platform offers people-based marketing automation and inbox re-targeting uses real-time intent indicators to automate experiences that get high-intent users to buy and sends behavioral marketing messaging to more people, enabling enterprises to target abandoning visitors with content and convert them into customers.</t>
  </si>
  <si>
    <t>5xmais, A-Rod, Battery Ventures(Neeraj Agrawal), Concept to Co, Contour Venture Partners, Cross Creek, CSC UpShot Ventures, Echelon Capital (Seattle), Hurt Family Investments, Jason Finger(Jason Finger), Jonathan Keidan(Jonathan Keidan), Karmel Capital(Scott Neuberger), Mike Volpe(Mike Volpe), Primary Venture Partners, Rho Ventures, Torch Capital, Trigger Media</t>
  </si>
  <si>
    <t>Firebolt</t>
  </si>
  <si>
    <t>www.firebolt.io</t>
  </si>
  <si>
    <t>Developer of a cloud data warehouse designed to offer efficient data analytics experience at any scale. The company's data warehouse combines the high-performance database architecture with the infinite scale of the data lake and leverages the technology stack and recent academic research in the big data space, enabling analysts, employees, and end customers to gain the insights they need without having to wait for the results or worry about costs.</t>
  </si>
  <si>
    <t>Angular Ventures, Bessemer Venture Partners, TLV Partners, Zeev Ventures(Oren Zeev)</t>
  </si>
  <si>
    <t>Ripjar</t>
  </si>
  <si>
    <t>www.ripjar.com</t>
  </si>
  <si>
    <t>Developer of a data intelligence platform designed to change the way criminal activities are detected and prevented. The company's platform combines deep learning technology, advanced analytics, and global data collection to tackle analytic problems for real-time threat intelligence, anti-money laundering, and insider threat, enabling organizations to adapt to new threat behaviors and intelligence requirements.</t>
  </si>
  <si>
    <t>Long Ridge Equity Partners(Kevin Bhatt), Winton Ventures</t>
  </si>
  <si>
    <t>Contentful</t>
  </si>
  <si>
    <t>www.contentful.com</t>
  </si>
  <si>
    <t>Developer of a content platform designed to build digital experiences at scale. The company's platform unifies and structures content in a single hub so it can be reused across digital properties with an endlessly extensible framework for integrating with various tools, enabling businesses to manage all their content on a single platform.</t>
  </si>
  <si>
    <t>Balderton Capital(Suranga Chandratillake), Benchmark (San Francisco)(Eric Vishria), General Catalyst(Trevor Oelschig), Hercules Capital BDC (NYS: HTGC), OMERS Ventures, Salesforce Ventures, Sapphire Ventures(Andreas Weiskam)</t>
  </si>
  <si>
    <t>Amplience</t>
  </si>
  <si>
    <t>www.amplience.com</t>
  </si>
  <si>
    <t>Developer of a content management platform intended to offer marketing and merchandising teams data and insight-driven customer experiences that drive deeper and valuable customer relationships. The company's platform integrates seamlessly with transactional e-commerce platforms and is also dedicated to solve the whole customer experience problem, enabling clients to create online shopping experiences to unify rich content and asset management by eliminating duplicate processes and automating media production.</t>
  </si>
  <si>
    <t>Columbia Lake Partners(Craig Netterfield), Octopus Ventures(Jo Oliver)</t>
  </si>
  <si>
    <t>DataStax</t>
  </si>
  <si>
    <t>www.datastax.com</t>
  </si>
  <si>
    <t>Operator of a distributed database management platform designed to power data management for cloud applications. The company's platform specializes in building and deploying mission-critical cloud applications that can survive and thrive in the customer-centric and data-driven economy, enabling businesses to make data the centerpiece of their organization, build real-time value at epic scale and innovate with ease and speed.</t>
  </si>
  <si>
    <t>Crosslink Capital(Eric Chin), DFJ Growth(Sandesh Patnam), Industry Ventures, Kleiner Perkins, Meritech Capital Partners(Paul Madera), Premji Invest (US)(Eric Tong), Realization Capital Partners, SchindlerAM Ventures, Sweetwater Private Equity, The Goldman Sachs Group (NYS: GS)</t>
  </si>
  <si>
    <t>01 Advisors(Richard Costolo), Felicis Ventures(Aydin Senkut), GGV Capital(Tiffany Luck), Johnny Boufarhat(Johnny Boufarhat), Knight Capital, Olivier Pomel(Olivier Pomel), Selcuk Atli(Selcuk Atli), Tom Preston-Werner(Tom Preston-Werner)</t>
  </si>
  <si>
    <t>StrongArm Tech</t>
  </si>
  <si>
    <t>www.strongarmtech.com</t>
  </si>
  <si>
    <t>Developer of a safety science platform designed to actively manage industrial safety, productivity, and performance. The company's platform uses wearable sensors and AI-drive analysis to collect, analyze and predict insights on industrial workers in order to mitigate the risk of injury, enabling clients to mitigate workman's compensation claims from back injuries, increase worker productivity and comfort.</t>
  </si>
  <si>
    <t>Sand Hill Angels(Rajan Perkash)</t>
  </si>
  <si>
    <t>Lincros</t>
  </si>
  <si>
    <t>www.lincros.com</t>
  </si>
  <si>
    <t>Developer of an ERP software designed to provide logistical transformation. The company's platform allows planning and logistical operation of shippers and transporters of all sizes with continuous flow, eliminating barriers and enhancing movements, enabling businesses to reduce logistic costs and improve their efficiency.</t>
  </si>
  <si>
    <t>Sequoia Logistica (BVMF: SEQL3)</t>
  </si>
  <si>
    <t>WealthNavi (TKS: 7342)</t>
  </si>
  <si>
    <t>www.wealthnavi.com</t>
  </si>
  <si>
    <t>WealthNavi Inc provides asset management services. The company provides long-term, funded, diversified asset management services like automatic construction of an optimal portfolio, automatic ordering, automatic reserve, automatic rebalancing, and automatic tax optimization. The activities of the group are carried out through WealthNavi platform.</t>
  </si>
  <si>
    <t>Bonds Investment Group, Chiba Dojo, DBJ Capital, Global Brain, Lagfe, Mirai Creation Capital, Mizuho Bank, Resona Capital, SMBC Venture Capital, Sony Financial Ventures, UTokyo Innovation Platform</t>
  </si>
  <si>
    <t>LogiNext</t>
  </si>
  <si>
    <t>www.loginextsolutions.com</t>
  </si>
  <si>
    <t>Developer of a logistics management software designed to track the workforce in real-time on a single map interface. The company's software offers logistics data analytics, warehouse management, and asset tracking services, enabling businesses to plan and manage their dispatch schedule, delivery routes, and capacity in a cost-optimized way.</t>
  </si>
  <si>
    <t>100X.VC(Sanjay Mehta), Ajay Lavakare(Ajay Lavakare), Ananda Kallugadde(Ananda Kallugadde), Arjun Seth(Arjun Seth), Graycell Ventures, Nitin Singhal(Nitin Singhal), Sanjay Mehta, Sarath Sura(Sarath Sura), Steadview Capital Management(Ravi Mehta), Tiger Global Management, Varun Jalan(Varun Jalan), Vikas Agarwal(Vikas Agarwal)</t>
  </si>
  <si>
    <t>Aiven</t>
  </si>
  <si>
    <t>www.aiven.io</t>
  </si>
  <si>
    <t>Developer of an open-source cloud database software designed to serve all the database needs wherever needed. The company's software leverages the power of logs, metrics, and dataflow or replication integrations for hosting and managing an open-source database and messaging systems, enabling small and large-scale organizations to solve complex database cases and focus on building their own applications without worrying about data infrastructure management.</t>
  </si>
  <si>
    <t>Draper Venture Network, Earlybird Venture Capital, IVP(Eric Liaw), Lifeline Ventures(Kai Bäckman), Molten Ventures (LON: GROW), Olivier Pomel(Olivier Pomel), Risto Siilasmaa(Risto Siilasmaa)</t>
  </si>
  <si>
    <t>Immersive Labs</t>
  </si>
  <si>
    <t>www.immersivelabs.com</t>
  </si>
  <si>
    <t>Developer of a human cyber readiness platform designed to empower organizations to increase, measure, and demonstrate human capabilities in every part of their cybersecurity. The company's platform helps in interaction, exploration, and incident simulation, and discover hidden cybersecurity talent across organizations, enabling organizations to identify potential weaknesses and areas of focus to defend their business from cybercriminals and attackers.</t>
  </si>
  <si>
    <t>Goldman Sachs Asset Management, Summit Partners(Antony Clavel)</t>
  </si>
  <si>
    <t>Railsbank</t>
  </si>
  <si>
    <t>www.railsr.com</t>
  </si>
  <si>
    <t>Developer of global finance experience platform designed to make financial services accessible to everyone. The company's platform simplifies onboarding services, as well as offers, access to services such as creating digital ledgers, connecting digital ledgers to real bank accounts, receiving money, sending money, converting money, issuing cards, and managing credit via the API, enabling banks and corporate customers to transact digitally and in a compliant way.</t>
  </si>
  <si>
    <t>31Ventures, AdTay Ventures, Anthos Capital, Clocktower Technology Ventures, Firestartr(Chipper Boulas), Global Brain, MiddleGame Ventures(Patrick Pinschmidt), Mitsui Fudosan (TKS: 8801), Moneta Venture Capital(Meirav Har Noy), Steele Ventures, Ventura Capital</t>
  </si>
  <si>
    <t>LeafLink</t>
  </si>
  <si>
    <t>www.leaflink.com</t>
  </si>
  <si>
    <t>Operator of a wholesale cannabis marketplace intended to connect retailers with brands and distributors for streamlined cannabis commerce. The company's platform changes the way cannabis brands, distributors, and retailers manage their operations, to optimize ordering, simplify communication, and spend less time on administrative work, enabling the cannabis brands and retailers to streamline ordering and client management.</t>
  </si>
  <si>
    <t>640 Oxford Ventures, Colgate University, Founders Fund(Napoleon Ta), James Cleland(James Cleland), Josh Arbit(Josh Arbit), L2 Ventures, Lerer Hippeau, Nosara Capital(Ian Loizeaux), Thrive Capital</t>
  </si>
  <si>
    <t>9Yards Capital, Founders Fund, Interplay (B2B), J Heart Ventures, L2 Ventures, Nosara Capital(Ian Loizeaux), RIV Capital (CNQ: RIV), Talent Resources Ventures, The Common Group, Thrive Capital</t>
  </si>
  <si>
    <t>Lingokids</t>
  </si>
  <si>
    <t>www.lingokids.com</t>
  </si>
  <si>
    <t>Developer of a language learning platform intended to break down language barriers and provide equal opportunities for all kids. The company provides a learning tool that offers educational games for children to learn vocabulary and new languages and also helps parents monitor their child's development with progress reports, enabling kids to learn English through a game-based interactive tool.</t>
  </si>
  <si>
    <t>All Iron Ventures, GP Bullhound(Per Roman), HV Capital(Jasper Masemann), Kube VC, Mckinley Ventures, Ravensburger Next Ventures(Thomas Bleyer), Siesta Ventures</t>
  </si>
  <si>
    <t>Alumni Ventures(Ludwig Schulze), Bonfire Ventures, Counterpart Ventures(Patrick Eggen), Energy Impact Partners(Sameer Reddy), GRIDS Capital, Hax Incubator, Industry Ventures, Qualcomm Ventures(Carlos Kokron), Root Ventures(Avidan Ross), SOSV, Spark Capital(Nabeel Hyatt)</t>
  </si>
  <si>
    <t>ShipBob</t>
  </si>
  <si>
    <t>www.shipbob.com</t>
  </si>
  <si>
    <t>Provider of SaaS logistics technology designed to facilitate e-commerce businesses. The company's services include warehousing, custom packaging, and package delivery in addition to its software for combining orders, inventory management, customer communication, predictive data, and insights, enabling customers to better predict trends, shopping habits, and geographic insights across multiple industries and selling channels.</t>
  </si>
  <si>
    <t>Bain Capital Ventures(Ajay Agarwal), Bluestein Ventures, Brendan Wallace(Brendan Wallace), Hyde Park Angels, Hyde Park Venture Partners(Ira Weiss), Illinois Growth and Innovation Fund, Joseph Montana(Joseph Montana), Kevin Moore(Kevin Moore), Menlo Ventures(Shawn Carolan), Otter Rock Capital, Paul Holliman(Paul Holliman), Russell Long(Russell Long), Saad AlSogair(Saad AlSogair), Sohin Shah(Sohin Shah), StartCaps Ventures, SV Angel, Wefunder, Y Combinator</t>
  </si>
  <si>
    <t>Fastly (NYS: FSLY)</t>
  </si>
  <si>
    <t>www.fastly.com</t>
  </si>
  <si>
    <t>Fastly operates a content delivery network, which is necessary for entities to provide faster and more reliable online content. Fastly's strategy differs from traditional CDNs, which focused on locating servers in as many locations as possible to store copies of files that consumers most use. Fastly has far fewer sites than traditional CDNs, but it houses servers in the most network-dense data centers. Instead of simply storing static content, it allows its customers to program on its platform, enabling edge computing and better service of the more dynamic content that was traditionally not well served by CDNs. Fastly gears its service to the largest, most sophisticated enterprises rather than small companies and generated about two thirds of its revenue in the United States in 2020.</t>
  </si>
  <si>
    <t>DTCP, Elefund, Flight Ventures, Hercules Capital BDC (NYS: HTGC), Industrial Investors Group, Industry Ventures, Karmel Capital(Kevin Dobies), Kingfisher Investment Advisors(Alex Bernstein), Savano Capital Partners, Sozo Ventures, STCAP, Swisscom Ventures(Stefan Kuentz), TriplePoint Capital, York IE</t>
  </si>
  <si>
    <t>Huntress Labs</t>
  </si>
  <si>
    <t>www.huntress.com</t>
  </si>
  <si>
    <t>Developer of a security platform intended to offer managed detection and threat protection. The company's platform uses a combination of automated detection and human-powered threat hunting to find and stop hidden threats that sneak past preventive security tools, enabling IT resellers to protect their customers from persistent footholds, ransomware, and other attacks.</t>
  </si>
  <si>
    <t>Forgepoint Capital(Ernie Bio), Gula Tech Adventures(Ron Gula), JMI Equity(Suken Vakil)</t>
  </si>
  <si>
    <t>Egress</t>
  </si>
  <si>
    <t>www.egress.com</t>
  </si>
  <si>
    <t>Developer of a human layer security platform designed to manage and protect unstructured data. The company's platform provides security software for email protection, auditing, and compliance, preventing miss-sent emails, collaborating and sharing online, data classification, among others, enabling organizations to meet compliance requirements and drive business productivity.</t>
  </si>
  <si>
    <t>AlbionVC(Edward Lascelles), FTV Capital(Kyle Griswold)</t>
  </si>
  <si>
    <t>Sprout Social (NAS: SPT)</t>
  </si>
  <si>
    <t>www.sproutsocial.com</t>
  </si>
  <si>
    <t>Sprout Social Inc develops a cloud software that brings together social messaging, data and workflows in a unified system of record, intelligence, and action. The firm generates majority revenue from software subscriptions.</t>
  </si>
  <si>
    <t>Australia Future Fund, Goldman Sachs Growth Equity, Litani Ventures, New Enterprise Associates(Peter Barris), Reform Ventures</t>
  </si>
  <si>
    <t>Instabox</t>
  </si>
  <si>
    <t>www.instabox.io</t>
  </si>
  <si>
    <t>Operator of an online shipping platform designed to offer cost-effective and convenient logistic services. The company's software helps users to schedule a pickup or delivery of the e-commerce packages using smartphones and devices, enabling customers to get courier and products delivered the same day they shop.</t>
  </si>
  <si>
    <t>Cairo Angels, Creades (STO: CRED A)(John Hedberg), Hillclimber, Nineyards Equity(Stefan Nordahl)</t>
  </si>
  <si>
    <t>Monese</t>
  </si>
  <si>
    <t>www.monese.com</t>
  </si>
  <si>
    <t>Developer of a financial mobile application designed to offer digital banking services. The company's platform offers an easy way to open a current account quickly, without the credit checks or residency restrictions imposed by traditional banks, enabling clients to avail a way to shop online, receive a salary, and make purchases at stores.</t>
  </si>
  <si>
    <t>Augmentum Fintech (LON: AUGM)(Timothy Levene), Baris Aksoy(Baris Aksoy), João Monteiro(João Monteiro), Kinnevik (STO: KINV A)(Franco Danesi), Outrun Ventures, PayPal Ventures, Veljo Otsason(Veljo Otsason)</t>
  </si>
  <si>
    <t>Adjuvo, Bright Pixel Capital(Eduardo Piedade), Columbia Lake Partners, InfraVia Growth(Guillaume Santamaria), Lance Batchelor(Lance Batchelor), Octopus Ventures(Conor Scanlan), Summit Action</t>
  </si>
  <si>
    <t>Tessian</t>
  </si>
  <si>
    <t>www.tessian.com</t>
  </si>
  <si>
    <t>Developer of a next-generation email security platform intended to detect and prevent inadvertent data loss. The company's platform uses machine intelligence to prevent sensitive emails from being sent to the wrong people with minimal end-user disruption, enabling clients to protect their email networks against data security threats such as misaddressed emails, data loss, and non-compliance.</t>
  </si>
  <si>
    <t>Accel(Luciana Lixandru), Andrei Brasoveanu(Andrei Brasoveanu), Balderton Capital(Suranga Chandratillake), Innovate UK, Matt Miller(Matt Miller), Ophelia Brown(Ophelia Brown), Phoenix Court(Suzanne Ashman Blair), Pitch@Palace, Sequoia Capital(Matthew Miller), Suranga Chandratillake(Suranga Chandratillake), Thomas James(Thomas James)</t>
  </si>
  <si>
    <t>Eigen Technologies</t>
  </si>
  <si>
    <t>www.eigentech.com</t>
  </si>
  <si>
    <t>Developer of a natural language processing technology designed to read complex documents. The company's document AI technology leverages machine learning to analyze and examine documents and contracts, automating the extraction of unstructured qualitative data, and enabling individuals and organizations to make the right decisions by transforming data into actionable insights.</t>
  </si>
  <si>
    <t>Anthemis Group, Dawn Capital(Mina Mutafchieva), Goldman Sachs Growth Equity(Nishi Somaiya), ING Ventures(Benoit Legrand), Lakestar(Stephen Nundy), Sony Innovation Fund, Temasek Holdings(Ming You See)</t>
  </si>
  <si>
    <t>CarTrade (BOM: 543333)</t>
  </si>
  <si>
    <t>www.cartrade.com</t>
  </si>
  <si>
    <t>Series H</t>
  </si>
  <si>
    <t>CarTrade Tech Ltd is a multi-channel auto platform provider company. The company operates various brands such as CarWale, CarTrade, Shriram Automall, BikeWale, CarTradeExchange, Adroit Auto, and AutoBiz. The platform connects new and used automobile customers, vehicle dealers, vehicle OEMs, and other businesses to buy and sell different types of vehicles. The company offers a variety of solutions across automotive transactions for buying, selling, marketing, financing, and other activities.</t>
  </si>
  <si>
    <t>March Capital(Rajan Mehra), Temasek Holdings, Trident Capital, Warburg Pincus</t>
  </si>
  <si>
    <t>Domino Data Lab</t>
  </si>
  <si>
    <t>www.dominodatalab.com</t>
  </si>
  <si>
    <t>Developer of an enterprise data science management platform intended to help companies develop and deploy ideas with collaborative, reusable, reproducible analysis. The company's platform accelerates research, speeds model deployment, and enhances collaboration for code-first data science teams at scale, enabling data scientists to develop medicines, grow productive crops, adapt risk models to major economic shifts, build cars and enhance customer assistance.</t>
  </si>
  <si>
    <t>Coatue Management(Thomas Laffont), David Morin(David Morin), Dell Technologies Capital(Daniel Docter), Highland Capital Partners(Corey Mulloy), Highland Europe, HOF Capital, Sequoia Capital(Bryan Schreier)</t>
  </si>
  <si>
    <t>Alven Capital Partners(François Meteyer), Eurazeo Pme, Idinvest Partners, Iris Capital(Gil Doukhan), NetEase (HKG: 09999), Revaia(Alice Albizzati), Sweet Capital</t>
  </si>
  <si>
    <t>DeepBrain AI</t>
  </si>
  <si>
    <t>www.deepbrainai.io</t>
  </si>
  <si>
    <t>Developer of a conversational artificial intelligence technology designed to provide chatbot service. The company applies deep learning to the field of machine learning research to develop a voice, video, and conversation processing technology and use it as an interactive artificial intelligence service, providing customers with a chatbot which is a non-face-to-face counseling service that possesses human learning ability and language comprehension ability.</t>
  </si>
  <si>
    <t>Donghoon Investment, IDG Capital, IMM Investment, KDB Capital, KDB Industrial Bank, L&amp;S Venture Capital, NOH &amp; Partners, Nvestor (Korea), Posco Capital</t>
  </si>
  <si>
    <t>Fivetran</t>
  </si>
  <si>
    <t>www.fivetran.com</t>
  </si>
  <si>
    <t>Developer of an automated data integration platform designed to centralize data into cloud warehouses. The company's platform uses connectors that deploy in minutes and completely replicate applications, databases, events, and files, thereby enabling businesses to extract data from different cloud storage, and database sources and load it to their data warehouse anytime.</t>
  </si>
  <si>
    <t>Andreessen Horowitz(Martin Casado), CEAS Investments, CLF Partners, Matrix Partners(Ilya Sukhar)</t>
  </si>
  <si>
    <t>SirionLabs</t>
  </si>
  <si>
    <t>www.sirionlabs.com</t>
  </si>
  <si>
    <t>Developer of a contract management platform designed to offer enterprise supplier management services. The company's platform automatically validates incoming invoices based on what was promised in the contract and reconciles invoice amounts against performance metrics, enabling clients to govern, manage and execute contracts across their business ecosystem.</t>
  </si>
  <si>
    <t>Avatar Growth Capital(Vishal Bakshi), Sequoia Capital India(Shailendra Singh), Tiger Global Management</t>
  </si>
  <si>
    <t>Eight Roads, Mangrove Capital Partners(David Waroquier), Northzone Ventures(Jessica Schultz), Sabadell Venture Capital, Summit Partners</t>
  </si>
  <si>
    <t>Goodwill E-Health Info (SHG: 688246)</t>
  </si>
  <si>
    <t>www.bjgoodwill.com</t>
  </si>
  <si>
    <t>Goodwill E-Health Info Co Ltd is a computer software technology development company. The company's products and services include technology transfer, technical consulting, technical services, application software services, and wholesale electronic products.</t>
  </si>
  <si>
    <t>Alibaba Health Information Technology (HKG: 00241), Qiming Venture Partners</t>
  </si>
  <si>
    <t>Medical Records Systems</t>
  </si>
  <si>
    <t>Reltio</t>
  </si>
  <si>
    <t>www.reltio.com</t>
  </si>
  <si>
    <t>Developer of data-driven software designed to manage modern data management through Platform as a Service (PaaS) technology. The company's application delivers enterprise applications with reliable master data management (MDM), big data insights and intelligent recommended actions, thus enabling companies to access and collaborate on reliable, relevant data for better planning, customer engagement and risk management.</t>
  </si>
  <si>
    <t>.406 Ventures(Graham Brooks), Crosslink Capital(James Feuille), New Enterprise Associates(Chetan Puttagunta), Sapphire Ventures(Nino Marakovic)</t>
  </si>
  <si>
    <t>Rippling</t>
  </si>
  <si>
    <t>www.rippling.com</t>
  </si>
  <si>
    <t>Provider of an employee management platform intended to help eliminate the administrative work of running a company. The company's platform helps to manage employee data and operations including onboarding, offboarding, payrolls, tax forms, email accounts, and keycard access, enabling companies to onboard new employees seamlessly.</t>
  </si>
  <si>
    <t>Abstract Ventures, Bedrock, DHVC, Initialized Capital Management, Kleiner Perkins, Palm Drive Capital, S28 Capital, Tale Venture Partners, Threshold Ventures(Josh Stein), Y Combinator</t>
  </si>
  <si>
    <t>Lattice</t>
  </si>
  <si>
    <t>www.lattice.com</t>
  </si>
  <si>
    <t>Developer of an employee performance management platform designed to streamline the performance management processes of companies. The company's platform provides real-time feedback of employees throughout the year and helps to run performance review cycles with ease, enabling medium-sized companies to manage and measure the goals that are to be achieved by the employees.</t>
  </si>
  <si>
    <t>Christopher Howard(Christopher Howard), Erik Torenberg(Erik Torenberg), Founders Fund, Frontline Ventures(Brennan O'Donnell), Fuel Capital, Joshua Buckley(Joshua Buckley), Khosla Ventures, Thrive Capital(Miles Grimshaw), Tiger Global Management, William Clerico(William Clerico), Y Combinator</t>
  </si>
  <si>
    <t>MingYuanYun (HKG: 00909)</t>
  </si>
  <si>
    <t>www.mingyuanyun.com</t>
  </si>
  <si>
    <t>Ming Yuan Cloud Group Holdings Ltd is a provider of enterprise-grade ERP solutions and SaaS products to property developers and other industry participants along the real estate value chain in China. The company's ERP solutions and SaaS products enable property developers and other real estate industry participants such as construction materials suppliers and property asset management companies to streamline and digitalize their business operations. It generates maximum revenue from the SaaS products segment.</t>
  </si>
  <si>
    <t>Forebright Capital Management, Glodon (SHE: 002410)</t>
  </si>
  <si>
    <t>Transwarp (Big Data)</t>
  </si>
  <si>
    <t>www.transwarp.cn</t>
  </si>
  <si>
    <t>Developer of big data software technologies for enterprises. The company's cloud-based platform offers an integrated, one-stop data processing and cloud operating system to explore the applications of big data infrastructure in enterprises, enabling enterprises to store, manage and analyze data.</t>
  </si>
  <si>
    <t>CAS Investment Management, Everest VC, Jadex Capital, StepVC, T Fund, Xin Ding Capital</t>
  </si>
  <si>
    <t>Unmind</t>
  </si>
  <si>
    <t>www.unmind.com</t>
  </si>
  <si>
    <t>Operator of a workplace mental health platform intended to assess the mental well-being of the employees. The company's platform offers scientifically-backed tools and training services to drive positive cultural change across the organization by accessing aggregated and anonymized insights into the well-being of their people, enabling employees to track, assess and understand their well-being.</t>
  </si>
  <si>
    <t>EQT Ventures(Alastair Mitchell), Felix Capital(Antoine Nussenbaum), Project A(Thies Sander), Sapphire Ventures(Andreas Weiskam), True.</t>
  </si>
  <si>
    <t>Stay Alfred</t>
  </si>
  <si>
    <t>www.stayalfred.com</t>
  </si>
  <si>
    <t>Operator of an online accommodation platform designed to offer upscale travel apartments in walkable downtown neighborhoods. The company's platform offers next-generation booking process, 24/7 customer service and professional housekeeping with the reliability of a hotel stay, enabling travelers to get spacious accommodations with a kitchen, laundry and private bedrooms with the convenience of an apartment.</t>
  </si>
  <si>
    <t>Concentric Equity Partners, Nine Four Ventures(Kurt Ramirez)</t>
  </si>
  <si>
    <t>Other Restaurants, Hotels and Leisure</t>
  </si>
  <si>
    <t>BriteCore</t>
  </si>
  <si>
    <t>www.britecore.com</t>
  </si>
  <si>
    <t>Developer of cloud-based core systems software designed to transform insurance processes. The company's platform encompasses policies, billing, claims, and other functions, thereby, enabling property and casualty insurers to gain a competitive edge through efficient operations, compelling customer experiences, and speed to market.</t>
  </si>
  <si>
    <t>Radian Capital(Jordan Bettman), Warburg Pincus(Alexander Stratoudakis), WCF Mutual Insurance Company</t>
  </si>
  <si>
    <t>Kenna Security</t>
  </si>
  <si>
    <t>www.kennasecurity.com</t>
  </si>
  <si>
    <t>Developer of a predictive cyber risk analysis platform designed to accurately measures risk and prioritizes remediation efforts. The company's platform measures risk and prioritizes remediation efforts before an attacker can exploit an organization's weaknesses, predict attacks and prioritize all vulnerabilities to drive a measured increase in efficacy, enabling businesses to collaborate and proactively manage cyber risk.</t>
  </si>
  <si>
    <t>Bessemer Venture Partners(Alex Ferrara), Citi Ventures, Costanoa Ventures(Neill Occhiogrosso), Four Rivers Group, HSBC Strategic Innovation Investments, Hyde Park Angels, Jacques Benkoski(Jacques Benkoski), OurCrowd, Sorenson Capital(Ken Elefant), Tensility Venture Partners, US Venture Partners(Jacques Benkoski)</t>
  </si>
  <si>
    <t>Matterport (NAS: MTTR)</t>
  </si>
  <si>
    <t>www.matterport.com</t>
  </si>
  <si>
    <t>Matterport Inc is a spatial data company focused on digitizing and indexing the built world. Its all-in-one 3D data platform enables anyone to turn a space into an accurate and immersive digital twin which can be used to design, build, operate, promote, and understand any space.</t>
  </si>
  <si>
    <t>BoxGroup, CBRE Group (NYS: CBRE)(David Eisenberg), Concrete VC, DCM Ventures(Jason Krikorian), Ericsson Ventures, iGlobe Partners(Joyce Ng), iRobot Ventures, Leila Zegna(Leila Zegna), Luminari Capital, Lux Capital(Peter Hébert), M13, News Corp (NAS: NWSA), Plug and Play Tech Center, Prairie Management Group, Qualcomm Ventures(Carlos Kokron), Rev1 Ventures(Michael Kindrat-Pratt), Sound Ventures, State Auto Labs</t>
  </si>
  <si>
    <t>DigitalOcean (NYS: DOCN)</t>
  </si>
  <si>
    <t>www.digitalocean.com</t>
  </si>
  <si>
    <t>DigitalOcean Holdings Inc is a cloud computing platform offering on-demand infrastructure and platform tools for developers, start-ups and small and medium-sized businesses. The customers use the platform for a wide range of cases, such as web and mobile applications, website hosting, e-commerce, media and gaming, personal web projects, and managed services, among many others. The group has a business presence in North America, Europe, Asia and Other countries.</t>
  </si>
  <si>
    <t>2B Global Capital, Access Technology Ventures(Pueo Keffer), Andreessen Horowitz(Peter Levine), Barclays Investment Bank, E Squared Capital Management, Fisher Capital Investments, Fortress Investment Group, GoldenArc, HSBC USA, Industry Ventures, KeyBanc Capital Markets, MicroVentures, NP Capital, Opus Bank, Pacific Western Bank (Los Angeles), Pokora Capital, Polyvalent Capital(Zhavonsher Abdullaev), Raison Asset Management, Trinity Capital (NAS: TRIN), Veligera Capital, Webster Financial (NYS: WBS)</t>
  </si>
  <si>
    <t>Asana (NYS: ASAN)</t>
  </si>
  <si>
    <t>www.asana.com</t>
  </si>
  <si>
    <t>Asana Inc is a software company. The company provides a platform for work management that helps teams orchestrate work, from daily tasks to cross-functional strategic initiatives. It helps plan marketing campaigns, streamlines processes, manages sales, and manage product launches. Also, the company provides project management and workflow management solutions.</t>
  </si>
  <si>
    <t>8VC, Benchmark (San Francisco)(Matthew Cohler), Fisher Capital Investments, Founders Fund, Generation Investment Management(Joy Tuffield), Lead Edge Capital, Manhattan Venture Partners, World Innovation Lab(Tsune Shirota)</t>
  </si>
  <si>
    <t>Frame.io</t>
  </si>
  <si>
    <t>www.frame.io</t>
  </si>
  <si>
    <t>Developer of a video review and collaboration platform designed to streamline the process of video creation. The company's platform facilitates the process of sharing and collaborating on video projects through an intuitive user interface where users can upload and organize projects, share internally or with clients to review and add feedback, enabling content creators to stay connected with their teams on videos, and images from anywhere in the world.</t>
  </si>
  <si>
    <t>Accel(Vasant Natarajan), FirstMark Capital(Amish Jani), Insight Partners(Jeffrey Lieberman), Plus Capital, Shasta Ventures(Nikhil Trivedi), SignalFire, Zencoder</t>
  </si>
  <si>
    <t>Activant Capital, Alberto Chalon, Angels Santé, Formic Ventures, Gary Sheinbaum(Gary Sheinbaum), Glynn Capital, Human Capital, InterWest Partners, Jon McNeill(Jon McNeill), Jonathan Weiner(Jonathan Weiner), Kevin Moore(Kevin Moore), LionTree Partners, MaC Venture Capital, Magic Fund, Mark Lenhard(Mark Lenhard), Michael Vaughan(Michael Vaughan), NALA Investments, North 50 Venture Capital, Tessera Venture Partners, Tribe Capital(Arjun Sethi), WestCap(Laurence Tosi), ZenStone Venture Capital</t>
  </si>
  <si>
    <t>Alkeon Capital Management(Mark McLaughlin), Benchmark (San Francisco)(Eric Vishria), Christopher Golda(Christopher Golda), ICONIQ Growth, Lux Capital, Menlo Ventures, Spark Capital(William Reed), Thrive Capital(Miles Grimshaw)</t>
  </si>
  <si>
    <t>Alumni Ventures(David Shapiro), Andreessen Horowitz(Jeffrey Jordan), Ben Franklin Technology Partner of Southeastern Pennsylvania, Carrick Capital Partners(James Madden), Chestnut Street Ventures, Cross Creek(Karey Barker), Lucas Venture Group, Madera Technology Partners, Madrona Venture Group(Matthew McIlwain), McKesson Ventures(Tom Rodgers)</t>
  </si>
  <si>
    <t>Transfix</t>
  </si>
  <si>
    <t>www.transfix.io</t>
  </si>
  <si>
    <t>Developer of an online freight marketplace platform designed to connect shippers with truck drivers. The company's platform focuses on prescriptive algorithms, business intelligence, and supply chain visibility for providing a sustainable freight ecosystem, enabling shippers to move freight as efficiently as possible through digital brokerage and logistics software.</t>
  </si>
  <si>
    <t>Anant Chimmalgi(Anant Chimmalgi), G Squared, TriplePoint Venture Growth BDC (NYS: TPVG)</t>
  </si>
  <si>
    <t>Tray.io</t>
  </si>
  <si>
    <t>www.tray.io</t>
  </si>
  <si>
    <t>Developer of a general automation platform designed to build and maintain enterprise-wide integrations. The company's platform automates complex processes through a powerful, flexible portal and can connect the entire cloud stack using APIs, enabling developers and IT professionals to use the company's products as a centralized platform without devoting extensive engineering resources to the projects.</t>
  </si>
  <si>
    <t>Andrew Leaver(Andrew Leaver), Ballpark Ventures, Canada Pension Plan Investment Board, Charlie Songhurst(Charlie Songhurst), Eileen Burbidge(Eileen Burbidge), G&amp;H Partners, GGV Capital(Glenn Solomon), Hank Vigil(Hank Vigil), Harris Barton(Harris Barton), Jonathan Bradford(Jonathan Bradford), Keith Wallington(Keith Wallington), Matt Miller(Matt Miller), Meritech Capital Partners(Alex Kurland), Michael Chalfen, Playfair Capital, Richard Fearn(Richard Fearn), Sarah Technologies, Spark Capital(Alex Clayton), StepStone Group (NAS: STEP), Thomas Hulme(Thomas Hulme), Thomas Korte(Thomas Korte), True Ventures(Puneet Agarwal), ustwo Adventures</t>
  </si>
  <si>
    <t>Emailage</t>
  </si>
  <si>
    <t>www.emailage.com</t>
  </si>
  <si>
    <t>Developer of a SaaS fraud prevention and identity verification technology designed to make transactions easy and secure. The company's technology uses machine learning and proprietary algorithms in order to provide real-time alerts of risky transactions and delivers a risk score, enabling companies to realize significant savings from identifying and stopping fraudulent transactions and improve customer experience.</t>
  </si>
  <si>
    <t>Anthos Capital(Paul Farr), Bonfire Ventures(Mark Mullen), Cobre Capital, Mucker Capital, Radian Capital, Wipro Ventures</t>
  </si>
  <si>
    <t>Amplitude (NAS: AMPL)</t>
  </si>
  <si>
    <t>www.amplitude.com</t>
  </si>
  <si>
    <t>Amplitude Inc is pioneering a new category of software called digital optimization. The company's digital optimization system serves as the command center for businesses to connect digital products to business outcomes.</t>
  </si>
  <si>
    <t>Battery Ventures(Neeraj Agrawal), Benchmark (San Francisco)(Eric Vishria), GIC (Singapore), IVP, Lead Edge Capital, Sequoia Capital(Patrick Grady), Sorenson Capital, Tomer London(Tomer London)</t>
  </si>
  <si>
    <t>Pendo</t>
  </si>
  <si>
    <t>www.pendo.io</t>
  </si>
  <si>
    <t>Developer of a customer engagement analytics platform designed to optimize trial conversions and user onboarding in-product. The company's platform offers integrated technology for digital product teams by combining product usage analytics with user guidance, communication, feedback, and planning tools, enabling product teams to make informed decisions about what features to build, which to sunset, and how to accelerate product adoption.</t>
  </si>
  <si>
    <t>Battery Ventures(Neeraj Agrawal), Brett Queener, Contour Venture Partners, Cross Creek, FirstMark Capital, Geodesic Capital(Ashvin Bachireddy), Meritech Capital Partners(Robert Ward), Sapphire Ventures(Rajeev Dham), Spark Capital(Megan Siegler), Steve Johnson(Steve Johnson)</t>
  </si>
  <si>
    <t>Mighty Networks</t>
  </si>
  <si>
    <t>www.mightynetworks.com</t>
  </si>
  <si>
    <t>Developer of a networking application designed to create and grow a community-powered brand. The company's SaaS platform serves "creators with a purpose" selling experiences, relationships, and expertise to their members via community, content, online courses, and subscription commerce-all offered in one place under the creator's brand, and instantly available on every platform, enabling users to choose from a variety of courses and experiences to enhance their wellbeing.</t>
  </si>
  <si>
    <t>BBG Ventures (North America), Daniel Rosensweig, Great Oaks Venture Capital, Gretchen Rubin, Intel Capital(Trina Van Pelt), LionTree Partners, Lucas Venture Group, Marie Forleo, Owl Ventures, Reid Hoffman(Reid Hoffman), Ziff Capital Partners</t>
  </si>
  <si>
    <t>Suzy</t>
  </si>
  <si>
    <t>www.suzy.com</t>
  </si>
  <si>
    <t>Developer of a social marketing platform designed to help brands collect real-time consumer intelligence through direct consumer interactions. The company's platform provides a network of communities that assists companies to assess what products people need, campaigns people like, and what offers people are interested in, enabling clients to utlize their targeted crowd of consumers for real-time research and word-of-mouth marketing.</t>
  </si>
  <si>
    <t>Bertelsmann Digital Media Investments(Sim Blaustein), Foundry Group(Seth Levine), H.I.G. Growth Partners(Eric Tencer), North Atlantic Capital, Randall Beard(Randall Beard), Rho Ventures, Triangle Peak Partners(Dain DeGroff)</t>
  </si>
  <si>
    <t>Stenn</t>
  </si>
  <si>
    <t>www.stenn.com</t>
  </si>
  <si>
    <t>Provider of digital trade finance services intended to support international trade via invoice financing. The company offers fast financing to fill in the funding gaps that arise in international supply chains and solves the working capital needs of suppliers, intermediaries, and buyers of goods, thereby speeding up access to liquidity for international transactions of the SMEs.</t>
  </si>
  <si>
    <t>Centerbridge Partners(Jed Hart)</t>
  </si>
  <si>
    <t>Bluecore</t>
  </si>
  <si>
    <t>www.bluecore.com</t>
  </si>
  <si>
    <t>Operator of a decision-making platform intended to empower marketers to make decisions at the moment, based on massive data sets, across all channels. The company's platform individualizes customer interactions across email, website, display, and social by unifying product catalog and customer behavior data, enabling businesses to acquire, retain and grow their shopper base.</t>
  </si>
  <si>
    <t>Corazon Capital, FirstMark Capital(Amish Jani), Gaingels, Georgian(Justin LaFayette), Jordan French(Jordan French), Norwest Venture Partners(Scott Beechuk), Renata Quintini(Renata Quintini)</t>
  </si>
  <si>
    <t>Drive Capital(Nickolas Solaro), Luana Investments</t>
  </si>
  <si>
    <t>WalkMe (NAS: WKME)</t>
  </si>
  <si>
    <t>www.walkme.com</t>
  </si>
  <si>
    <t>WalkMe Ltd is the defining solution enabling organizations to better realize the value of software investments. It is a cloud-based digital adoption platform, users employees and customers of organizations can navigate websites, SaaS applications, and mobile apps through a digital, GPS-like experience to accomplish any task from simple, online transactions, to complex cross-application software processes, to fully autonomous experiences that require no manual clicks or entries. Substantial revenue is derived from the United States.</t>
  </si>
  <si>
    <t>EDBI, Insight Partners, Mangrove Capital Partners(Roy Saar)</t>
  </si>
  <si>
    <t>Monday.com (NAS: MNDY)</t>
  </si>
  <si>
    <t>www.monday.com</t>
  </si>
  <si>
    <t>Monday.Com Ltd Work OS is an open platform that democratizes the power of software so organizations can easily build work management tools and software applications to fit their every need. The platform intuitively connects people to processes and systems, empowering teams to excel in every aspect of their work while creating an environment of transparency in business. Monday.com operates in Tel Aviv, New York, San Francisco, Miami, Chicago, London, Sydney, Sao Paulo, and Tokyo.</t>
  </si>
  <si>
    <t>Entrée Capital(Aviad Eyal), Insight Partners(Jeffrey Horing), Stripes(Kenneth Fox)</t>
  </si>
  <si>
    <t>YOOBIC</t>
  </si>
  <si>
    <t>www.yoobic.com</t>
  </si>
  <si>
    <t>Developer of an all-in-one platform designed to boost productivity by streamlining daily tasks. The company's platform offers its clients a way to bridge the gap and gain full visibility into task execution, enabling companies with a desk-less workforce to empower their employees through digitally optimized communication, training, and process management.</t>
  </si>
  <si>
    <t>Felix Capital(Frederic Court), Highland Europe(Jean Tardy-Joubert), Insight Partners</t>
  </si>
  <si>
    <t>Greenhouse Software</t>
  </si>
  <si>
    <t>www.greenhouse.io</t>
  </si>
  <si>
    <t>Operator of a recruiting platform intended to back companies to source, interview, hire and onboard the right talent. The company's platform assists employers to establish who they are looking to hire and planning a consistent interview process, enabling recruiters to collect feedback and track employees after they have been hired.</t>
  </si>
  <si>
    <t>FrontierSpace Ventures, Frontline Ventures(Stephen McIntyre), Riverwood Capital(Francisco Alvarez-Demalde)</t>
  </si>
  <si>
    <t>TytoCare</t>
  </si>
  <si>
    <t>www.tytocare.com</t>
  </si>
  <si>
    <t>Developer of a telehealth solution for remote medical examinations that physicians can check on patients remotely. The company connects people to clinicians over the Internet or through mobile applications to provide the best virtual home examination and diagnosis solutions. The solutions provided by the company are designed to enable a comprehensive medical exam from any location and include a hand-held, all-in-one tool for examining the heart, lungs, skin, ears, throat, abdomen, and body temperature; a complete telehealth platform for sharing exam data, conducting live video exams, and scheduling visits; a cloud-based data repository with analytics; and built-in guidance technology and machine learning algorithms to ensure accuracy and ease of use for patients and insights for healthcare providers.</t>
  </si>
  <si>
    <t>Insight Partners(Hagi Schwartz), OTV(Amir Lahat), Qualcomm Ventures, Qumra Capital, Shenzhen Capital Group, Tiger Global Management</t>
  </si>
  <si>
    <t>Monitoring Equipment</t>
  </si>
  <si>
    <t>Sauce Labs</t>
  </si>
  <si>
    <t>www.saucelabs.com</t>
  </si>
  <si>
    <t>Developer of cloud-based continuous mobile and web-testing platform intended to help test software and applications in real-time. The company's platform provides instant access to a wide range of operating systems and browser combinations across desktop and mobile platforms for swift, secure and scalable testing of websites and mobile apps, enabling users to test their web and mobile apps for bugs.</t>
  </si>
  <si>
    <t>Riverwood Capital(Jeffrey Parks), TPG (NAS: TPG)</t>
  </si>
  <si>
    <t>Behavox</t>
  </si>
  <si>
    <t>www.behavox.com</t>
  </si>
  <si>
    <t>Developer of a people analytics platform intended to search and interrogate huge amounts of employee-generated data in real-time. The company's platform generates previously unidentifiable insights into all aspects of business operations, strengthening compliance, culture, and competitiveness, and delivers real-time integration of complex and diverse data sources, enabling clients to detect cases of market abuse, fraud, collusion, sensitivity, and reckless behavior early and conduct investigations faster.</t>
  </si>
  <si>
    <t>SoftBank Investment Advisers</t>
  </si>
  <si>
    <t>Partnerize</t>
  </si>
  <si>
    <t>www.partnerize.com</t>
  </si>
  <si>
    <t>Developer of a partner automation platform designed to build partnerships that drive business growth. The company's platform uses artificial intelligence to offer end-to-end, SaaS-based services for forming, managing, analyzing, and predicting the future results of partner marketing as well as increase customer acquisition and drive high margin revenues from online marketing channels, enabling clients to build good relationships and partnerships, expose granular market insights and reduce data manipulation time.</t>
  </si>
  <si>
    <t>Accel-KKR(Joseph Porten), Headline (San Francisco), Mojo Capital</t>
  </si>
  <si>
    <t>BigPanda</t>
  </si>
  <si>
    <t>www.bigpanda.io</t>
  </si>
  <si>
    <t>Operator of an alert correlation platform designed to centralize and correlate enterprise information technology alerts. The company offers a platform of artificial intelligence for IT operations that transforms data into insight and action, enabling operations teams to automate incident management and keep their digital businesses running smoothly and helping in preventing information technology outages and improving incident management.</t>
  </si>
  <si>
    <t>Battery Ventures(Scott Tobin), Greenfield Partners (Israel)(Shay Grinfeld), Insight Partners(Lonne Jaffe), Mayfield (Private Equity), Pelion Venture Partners, S Capital VC, Sequoia Capital Israel(Shmuel Levy), The Syndicate Group</t>
  </si>
  <si>
    <t>Zipwhip</t>
  </si>
  <si>
    <t>www.zipwhip.com</t>
  </si>
  <si>
    <t>Developer of a business-texting software designed to assist businesses to increase their customer engagement and growth through texting. The company's software provides a platform to interact with customers by text messages from any business line and activates the telephone numbers that are used for customer services, enabling businesses to boost workplace productivity by supporting real human conversations at scale across any device.</t>
  </si>
  <si>
    <t>Ariel Winton(Ariel Winton), Goldman Sachs Growth Equity(Hillel Moerman), M12(Abhishek Kumar), OpenView Venture Partners(Scott Maxwell), Saints Capital, Voyager Capital(William McAleer)</t>
  </si>
  <si>
    <t>Arete (UK), Arete Capital Partners, Chrysalis Investments (LON: CHRY)(Richard Watts), Mercia Asset Management (LON: MERC)</t>
  </si>
  <si>
    <t>Lucid Software</t>
  </si>
  <si>
    <t>www.lucid.co</t>
  </si>
  <si>
    <t>Developer of collaborative diagramming and brand management software designed to improve clarity, communication, and productivity. The company's platform includes tools to create flowcharts, mind maps, organizational charts, website wireframes, and network diagrams or design and share other visual content, enabling businesses to share and maximize the impact of visuals or visual content while driving clarity and gaining insights.</t>
  </si>
  <si>
    <t>Bling Capital, Calm Ventures, Crew Capital, Cross Creek(Peter Jarman), Glynn Capital, ICONIQ Growth, Kickstart Seed Fund(Gavin Christensen), Meritech Capital Partners, Rajeev Surati(Rajeev Surati), Spectrum Equity(Benjamin Spero), University Growth Fund, ZoiBel</t>
  </si>
  <si>
    <t>Signpost</t>
  </si>
  <si>
    <t>www.signpost.com</t>
  </si>
  <si>
    <t>Developer of a cloud-based customer relationship management software designed to help local businesses attract, connect with, and grow their customer base. The company's software offers tools that automate data collection and cross-channel marketing to capture the contact information of folks who call, text, email or buy something from a business and autonomously sends personalized messages, enabling clients to drive feedback, acquire new customers while increasing engagement and revenue.</t>
  </si>
  <si>
    <t>BMO Financial Group (TSE: BMO)(Devon Dayton), Chapter One Ventures(Jeffrey Morris), Daniel Brillman(Daniel Brillman), Georgian(Justin LaFayette), GV, HighBar Partners(Brian Peters), Jack Herrick, Jason Calacanis(Jason Calacanis), OpenView Venture Partners, Scout Ventures(John Ryu), Spark Capital</t>
  </si>
  <si>
    <t>Total Expert</t>
  </si>
  <si>
    <t>www.totalexpert.com</t>
  </si>
  <si>
    <t>Developer of enterprise-grade marketing automation and customer intelligence platform designed for financial services firms to empower their sales teams with actionable data and insights to fuel sales growth. The company's platform aligns marketing, sales and compliance departments in one system, offering customized content creation, distribution and reporting of all marketing materials, enabling businesses to gain greater oversight and audit-ready compliance, fueling fast and confident decisions.</t>
  </si>
  <si>
    <t>Emergence Capital Partners(Joseph Floyd), Georgian(Simon Chong), Rally Ventures(Jeffrey Hinck)</t>
  </si>
  <si>
    <t>Brighter Capital, Genesis Alternative Ventures, GRIDS Capital, Oceanic Partners, Parameter Ventures, Wafra(Sean Villa)</t>
  </si>
  <si>
    <t>Wizeline</t>
  </si>
  <si>
    <t>www.wizeline.com</t>
  </si>
  <si>
    <t>Developer of high-end digital products and platforms designed to accelerate time to market. The company's services include consulting services by using data to algorithmically prioritize features in product road-maps and fast-track the development of new technologies and digital products, enabling clients to get modernized core technologies, matured data-driven capabilities, and improved user experience.</t>
  </si>
  <si>
    <t>Apax Partners(Marcelo Gigliani), Core Ventures Group, The Cambria Group</t>
  </si>
  <si>
    <t>MineralTree</t>
  </si>
  <si>
    <t>www.mineraltree.com</t>
  </si>
  <si>
    <t>Developer of a cloud-based automation software designed to automate and optimize each phase of an invoice's journey to suit team's existing workflow and specific company needs. The company's software streamlines the payment process by consolidating multiple payment types and integrates with many standard accounting packages, enabling clients to automate their invoice-to-pay process, simplify payments and retain commercial customers.</t>
  </si>
  <si>
    <t>.406 Ventures(Maria Cirino), Eight Roads, Great Hill Partners(Matthew Vettel), Shyam Kamadolli(Shyam Kamadolli)</t>
  </si>
  <si>
    <t>Alkami (NAS: ALKT)</t>
  </si>
  <si>
    <t>www.alkami.com</t>
  </si>
  <si>
    <t>Alkami Technology Inc is a cloud-based digital banking platform. It provides financial institutions a complete digital banking solution ready to facilitate both retail and business user onboarding, engagement, and account servicing.</t>
  </si>
  <si>
    <t>Argonaut Private Equity(Steven Mitchell), General Atlantic(Raphael Osnoss), MissionOG(Eugene Lockhart), S3 Ventures(Brian Smith)</t>
  </si>
  <si>
    <t>Acorns</t>
  </si>
  <si>
    <t>www.acorns.com</t>
  </si>
  <si>
    <t>Series E2</t>
  </si>
  <si>
    <t>Developer of a mobile application designed to automate micro-investments into exchange-traded funds (ETF). The company's platform uses a proprietary financial engine that features the ability to round up spare change from everyday purchases to invest these sub-dollar amounts into a professionally managed portfolio of index funds and provides debit card, personal checking, investment, and retirement accounts, enabling users to invest small amounts of money from spare change every day.</t>
  </si>
  <si>
    <t>A-Rod, Declaration Partners, Dimension Ventures, eVentures (North America), Fifth Era, Industry Ventures, LFG Ventures (VC), Makai VC, Mastry, Senator Investment Group, STS Ventures, Torch Capital</t>
  </si>
  <si>
    <t>Other Financial Services</t>
  </si>
  <si>
    <t>Linklogis (HKG: 09959)</t>
  </si>
  <si>
    <t>www.linklogis.com</t>
  </si>
  <si>
    <t>Linklogis Inc is a technology solution provider for supply chain finance in China. The company's platform uses big data, Artificial Intelligence, and blockchain technologies to create a financial service platform to directly connect the asset side and the fund side, enabling small-sized companies to raise funding conveniently. It operates in two segments: Supply Chain Finance Technology Solutions and Emerging Solutions. Supply Chain Finance Technology Solutions includes Anchor Cloud and FI Cloud. Emerging Solutions include Crossborder Cloud and SME Credit Tech Solutions.</t>
  </si>
  <si>
    <t>Standard Chartered (LON: STAN)</t>
  </si>
  <si>
    <t>Invoca</t>
  </si>
  <si>
    <t>www.invoca.com</t>
  </si>
  <si>
    <t>Operator of conversation intelligence platform intended to create better buying experiences, drive more leads and increase revenue. The company's platform turns conversation data into automated action, analyzes conversations to identify important insights and activates marketing, e-commerce, sales and CX through integrations, enabling businesses to enhance every digital touchpoint and human interaction.</t>
  </si>
  <si>
    <t>Accel(Ethan Choi), Bonfire Ventures(Brett Queener), H.I.G. Growth Partners(Scott Hilleboe), Industry Ventures, Morgan Stanley Investment Management, Northgate Capital, Upfront Ventures(Mark Suster)</t>
  </si>
  <si>
    <t>CallRail</t>
  </si>
  <si>
    <t>www.callrail.com</t>
  </si>
  <si>
    <t>Developer of a leads-focused analytics platform designed to bring complete visibility to the marketers who rely on quality inbound leads. The company's platform helps customers get a clear view into their digital marketing efforts by surfacing and connecting data from calls, forms, chat, and beyond, enabling clients to boost success and sustain growth.</t>
  </si>
  <si>
    <t>Andy Powell(Andy Powell), Kevin Mann(Kevin Mann), Leaders Fund(Stephen DeBacco), Reggie Bradford, Sageview Capital(Dean Nelson), Todd Belfer</t>
  </si>
  <si>
    <t>LandTech</t>
  </si>
  <si>
    <t>www.land.tech</t>
  </si>
  <si>
    <t>Developer of property development software designed to bridge the shortages of housing and building communities. The company's platform speeds up the process of finding, assessing, and buying new land for setting up a business, enabling clients to build required properties at a substantially reduced cost.</t>
  </si>
  <si>
    <t>Flashpoint's funds, Growth Strategy, JLL Spark, Pi Labs, Updata Partners(Jonathan Seeber), YLD (Sweden)</t>
  </si>
  <si>
    <t>Anthemis Group, Augmentum Fintech (LON: AUGM), Avios, Hangar 51, International Airlines Group (LON: IAG), Kinnevik (STO: KINV A)(Franco Danesi), Korea Investment Partners, Outward Venture Capital, PayPal Ventures, Pinto Ventures, Seedcamp, Specialist VC, Superangel, Timeless Media, YYX Capital</t>
  </si>
  <si>
    <t>Amount</t>
  </si>
  <si>
    <t>www.amount.com</t>
  </si>
  <si>
    <t>Developer of a financial platform intended to help banks and financial institutions to digitize their retail product offerings. The company helps partners go digital in months with omnichannel retail banking experiences and a robust point-of-sale financing product suite underpinned by platform features including fraud prevention, verification, decision engines, and account management, enabling clients to modernize the user experience and optimize growth.</t>
  </si>
  <si>
    <t>Bloodhound Partners(Phin Upham), Origin Ventures, QED Investors, RRE Ventures</t>
  </si>
  <si>
    <t>True Fit</t>
  </si>
  <si>
    <t>www.truefit.com</t>
  </si>
  <si>
    <t>Operator of a footwear and apparel personalization platform designed for brands and retailers to connect with shoppers. The company's platform connects data using AI to determine customers' personal experiences from apparel and footwear brands, retailers, and personal preference data from users, enabling retailers and brands to provide consumers with unparalleled personalization via software-as-a-service, including personal style rankings, fit ratings, size recommendations, fit details, and merchandising insights.</t>
  </si>
  <si>
    <t>Cross Creek, Georgian(Justin LaFayette), Intel Capital(Sanjit Dang), Jump Capital(Saurabh Sharma), Signal Peak Ventures(Brandon Tidwell)</t>
  </si>
  <si>
    <t>FrontApp</t>
  </si>
  <si>
    <t>front.com</t>
  </si>
  <si>
    <t>Developer of a multi-channel inbox platform designed to centralize communication channels into one place. The company's multi-channel inbox specializes in an e-mail application that facilitates internal discussion along with writing comments in each message as well as adding collaboration and social features, enabling users to chat efficiently and save time.</t>
  </si>
  <si>
    <t>Anthos Capital, Boldstart Ventures(Edward Sim), Eric Yuan(Eric Yuan), Frederic Kerrest(Frederic Kerrest), FundersClub, Initialized Capital Management, Jared Smith(Jared Smith), Jay Simons(Jay Simons), Michael Cannon-Brookes(Michael Cannon-Brookes), Palm Drive Capital, Ryan Smith(Ryan Smith), Sequoia Capital(Bryan Schreier), Tribe Capital, Uncork Capital(Jean-Francois Clavier), Vine Capital Management</t>
  </si>
  <si>
    <t>LinkDoc</t>
  </si>
  <si>
    <t>www.linkdoc.com</t>
  </si>
  <si>
    <t>LinkDoc Technology Ltd is principally engaged in providing continuous care for patients with critical diseases and data-driven precision life sciences solution that helps life sciences companies and physicians accelerate clinical research and real-world adoption.</t>
  </si>
  <si>
    <t>Alibaba Health Information Technology (HKG: 00241)</t>
  </si>
  <si>
    <t>BetterCloud</t>
  </si>
  <si>
    <t>www.bettercloud.com</t>
  </si>
  <si>
    <t>Developer of a software-as-a-service (SaaS) management platform designed to empower information technology professionals to define, remediate and enforce management. The company's platform connects multiple applications and has template detectors that listen for changes in application settings, configurations and access as well as combines detectors with automation workflows, enabling companies to continuously monitor events, quickly remediate threats and improve fully automated policy enforcement.</t>
  </si>
  <si>
    <t>Accel(Arun Mathew), Bain Capital Ventures(Enrique Salem), Flybridge Capital Partners(David Aronoff), Greycroft, New Amsterdam Growth Capital, Tribeca Venture Partners(Chip Meakem)</t>
  </si>
  <si>
    <t>Podium</t>
  </si>
  <si>
    <t>www.podium.com</t>
  </si>
  <si>
    <t>Developer of an enterprise-class customer review management platform designed to change the way businesses communicate with their customers. The company's platform offers a system that provides aggregation, analysis, and management of customer reviews across numerous sites, enabling organizations to drive user-generated content to better understand customers, increase visibility, and influence purchase decisions.</t>
  </si>
  <si>
    <t>Accel(Miles Clements), GV, IVP(J. Sanford Miller), Summit Partners(Andrew Collins), Y Combinator(Ali Rowghani)</t>
  </si>
  <si>
    <t>SmartRent (NYS: SMRT)</t>
  </si>
  <si>
    <t>www.smartrent.com</t>
  </si>
  <si>
    <t>SmartRent Inc is an enterprise smart home and smart building technology platform for property owners, managers and residents. The SmartRent solution is designed to provide property managers with seamless visibility and control over all their assets while delivering cost savings and additional revenue opportunities through all-in-one home control offerings for residents.</t>
  </si>
  <si>
    <t>Amazon Alexa Fund(Paul Bernard), Assurant Ventures, Bain Capital Ventures(Merritt Hummer), Energy Impact Partners(Lindsay Luger), Fifth Wall(Vik Chawla), Flight Ventures, Hack VC, Nine Four Ventures, RET Ventures(John Helm), Spark Capital(William Reed)</t>
  </si>
  <si>
    <t>Unbabel</t>
  </si>
  <si>
    <t>www.unbabel.com</t>
  </si>
  <si>
    <t>Developer of a human translation platform and bot created to build multilingual understanding between companies and their customers. The company's platform utilizes a community of bilingual and freelance translators to provide human-quality translations to business customers, enabling clients and companies to eliminate the language barrier for large enterprises to easily serve a global customer base.</t>
  </si>
  <si>
    <t>Anant Chimmalgi(Anant Chimmalgi), Caffeinated Capital, Caixa Capital, Dittes Ventures, Faber Ventures, FrontierSpace Ventures, FundersClub, Greycroft, Headline (San Francisco), Iberis Capital, Indico Capital Partners(Stephan Morais), Lisbon Challenge, M12, Notion(Christopher Tottman), Point72 Ventures(Sri Chandrasekar), Samsung NEXT Ventures, Scale Venture Partners(Andy Vitus), Structure Capital</t>
  </si>
  <si>
    <t>Atomico, Crew Capital, IVP(Eric Liaw), World Innovation Lab</t>
  </si>
  <si>
    <t>ScaleFactor</t>
  </si>
  <si>
    <t>www.scalefactor.com</t>
  </si>
  <si>
    <t>Developer of a SaaS-based finance and accounting software designed to streamline business accounting and financial operations. The company's software uses machine learning to process and categorizes financial transactions in real-time, automates complex bookkeeping tasks, translates financial information into usable business insights, enabling business owners, managers and entrepreneurs to control their operations and strategically grow their business.</t>
  </si>
  <si>
    <t>Bessemer Venture Partners(Byron Deeter), Broadhaven Capital Partners, Canaan Partners(Michael Gilroy), Cercano Management(Rafael Costa), Citi Ventures, Coatue Management(Thomas Laffont), Firebrand Ventures, Flyover Capital(Thad Langford), Next Play Capital, Stripes</t>
  </si>
  <si>
    <t>DISCO (NYS: LAW)</t>
  </si>
  <si>
    <t>www.csdisco.com</t>
  </si>
  <si>
    <t>CS Disco Inc provides a cloud-native, artificial intelligence-powered legal solution that simplifies discovery, legal document review, and case management for enterprises, law firms, legal services providers, and governments. Its revenue-generating activities directly relate to the sale and support of legal solutions. It has two primary types of contractual arrangements: usage-based and subscription solutions. The usage-based revenue is derived from contracts under which customers are billed monthly based on their usage. Subscription revenue is derived from contracts where customers are contractually committed to a minimum data volume over a period of time.</t>
  </si>
  <si>
    <t>Bessemer Venture Partners(Robert Goodman), Breyer Capital, Georgian(Tyson Baber), Globalive Capital, LiveOak Venture Partners(Krishna Srinivasan), The Stephens Group(Aaron Clark)</t>
  </si>
  <si>
    <t>Verbit</t>
  </si>
  <si>
    <t>www.verbit.ai</t>
  </si>
  <si>
    <t>Developer of interactive transcription and captioning software designed to generate detailed speech-to-text files. The company utilizes automated speech recognition (ASR) technology to transform both live and recorded video and audio into captions and transcripts for the education, legal, media, and enterprise industries, thereby enabling organizations to maximize the potential of the audio and video files by making information searchable, accessible and actionable.</t>
  </si>
  <si>
    <t>Big-Tech 50 (TAE: BIGT), ClalTech, HV Capital(Jasper Masemann), Sapphire Ventures(Jayendra Das), Stripes(Saagar Kulkarni), Vertex Growth(Hock Tam), Vertex Ventures Israel(Yanai Oron)</t>
  </si>
  <si>
    <t>Namely</t>
  </si>
  <si>
    <t>www.namely.com</t>
  </si>
  <si>
    <t>Developer of a human capital management platform intended to meet the complex demands faced by today's HR professionals. The company's cloud-based platform provides tools across payroll, benefits, human resource information, and talent management, enabling mid-sized companies to focus on developing their people and providing a better employee experience.</t>
  </si>
  <si>
    <t>Chris Ingram(Chris Ingram), GGV Capital(Jeff Richards), Greg Rogers(Greg Rogers), Matrix Partners(David Skok), Sarah Fay(Sarah Fay), Scale Venture Partners(Stacey Bishop), Sequoia Capital(Patrick Grady), Tenaya Capital, True Ventures(Philip Black)</t>
  </si>
  <si>
    <t>Patreon</t>
  </si>
  <si>
    <t>www.patreon.com</t>
  </si>
  <si>
    <t>Developer of a patronage platform designed to monetize the creator's work through a direct relationship with their fans. The company's platform connects artists with their fans in order to facilitate monetary support in exchange for exclusive benefits, community, and insight into the creative process, enabling fans to become active participants in the work they love by offering them a monthly membership.</t>
  </si>
  <si>
    <t>CRV, DFJ Growth, Freestyle Capital, Glade Brook Capital Partners(Paul Hudson), Hannibal Buress(Hannibal Buress), Index Ventures(Daniel Rimer), Initialized Capital Management, Otherwise Fund, Script Capital (United States), Serj Tankian(Serj Tankian), Thrive Capital</t>
  </si>
  <si>
    <t>BitSight</t>
  </si>
  <si>
    <t>www.bitsight.com</t>
  </si>
  <si>
    <t>Operator of a cloud-based security rating platform intended to scale third-party risk programs. The company's platform applies algorithms, producing daily security ratings that range from 250 to 900 and help organizations and nations worldwide to manage third-party risk, underwrite cyber insurance policies, benchmark performance, conduct M&amp;A due diligence and assess aggregate risk, enabling businesses to make better strategic security risk and business decisions.</t>
  </si>
  <si>
    <t>Flybridge Capital Partners(David Aronoff), GGV Capital(Glenn Solomon), Menlo Ventures(Venkataraman Ganesan), Singtel Innov8, Warburg Pincus(Cary Davis)</t>
  </si>
  <si>
    <t>Founders Fund, Frontline Ventures(Brennan O'Donnell), Fuel Capital, HighSage Ventures, Khosla Ventures, Shasta Ventures(Jason Pressman), Summit Peak Investments, Thrive Capital, Tiger Global Management(John Curtius)</t>
  </si>
  <si>
    <t>Sodexo Group (PAR: SW)</t>
  </si>
  <si>
    <t>Source: PitchBook</t>
  </si>
  <si>
    <t>TOTAL</t>
  </si>
  <si>
    <t>ARR Cohorts - Revenue aggregated</t>
  </si>
  <si>
    <t>ARR Cohorts - Aggregated</t>
  </si>
  <si>
    <t>Q1</t>
  </si>
  <si>
    <t>Q2</t>
  </si>
  <si>
    <t>Q3</t>
  </si>
  <si>
    <t>Q4</t>
  </si>
  <si>
    <t>Monthly discount rate</t>
  </si>
  <si>
    <t xml:space="preserve">PV of Accum. gross profit/customer </t>
  </si>
  <si>
    <t>Sales &amp; Marketing</t>
  </si>
  <si>
    <t>CAC Payback, months</t>
  </si>
  <si>
    <t>LTV with 36 months cap</t>
  </si>
  <si>
    <t>LTV (cap)/CAC</t>
  </si>
  <si>
    <t xml:space="preserve">NRR (quarterly) </t>
  </si>
  <si>
    <t>This does not account for GM</t>
  </si>
  <si>
    <t xml:space="preserve">LTV </t>
  </si>
  <si>
    <t xml:space="preserve">CAC </t>
  </si>
  <si>
    <t>CAC Payback (in Months)</t>
  </si>
  <si>
    <t>Public Company Comps</t>
  </si>
  <si>
    <t>LTM EV / Revenue</t>
  </si>
  <si>
    <t>Forward Year 1 EV/Revenue</t>
  </si>
  <si>
    <t>Transaction Comps</t>
  </si>
  <si>
    <t>Range of implied Enterprise Value</t>
  </si>
  <si>
    <t xml:space="preserve">Range of Valuation Multiples </t>
  </si>
  <si>
    <t>Minimum</t>
  </si>
  <si>
    <t>25th Percentile</t>
  </si>
  <si>
    <t>75th Percentile</t>
  </si>
  <si>
    <t>Maximum</t>
  </si>
  <si>
    <t>Public - LTM EV / Revenue</t>
  </si>
  <si>
    <t>Transaction - LTM EV / Revenue</t>
  </si>
  <si>
    <t>Transaction - Forward Year 1 EV/Revenue</t>
  </si>
  <si>
    <t>Min to 25th</t>
  </si>
  <si>
    <t>25th to Median</t>
  </si>
  <si>
    <t>Median to 75th</t>
  </si>
  <si>
    <t>75th to Max</t>
  </si>
  <si>
    <t>Transacions in SaaS</t>
  </si>
  <si>
    <t>RabbitWise</t>
  </si>
  <si>
    <t>YOY Growth</t>
  </si>
  <si>
    <t>NRR (Net Retention Rate)</t>
  </si>
  <si>
    <t>Forward Year 1 Rev</t>
  </si>
  <si>
    <t>LTM Revenue</t>
  </si>
  <si>
    <t>Appendix: Data for Football field</t>
  </si>
  <si>
    <t>Filtered here</t>
  </si>
  <si>
    <t>P&amp;L Summary ($)</t>
  </si>
  <si>
    <t>Total Revenue</t>
  </si>
  <si>
    <t>Gross Profit</t>
  </si>
  <si>
    <t>Gross Margin %</t>
  </si>
  <si>
    <t>Operating Profit</t>
  </si>
  <si>
    <t>Net Income</t>
  </si>
  <si>
    <t>Executive Summary</t>
  </si>
  <si>
    <t>Period</t>
  </si>
  <si>
    <t>Latest Actual</t>
  </si>
  <si>
    <t>FY23 Forecast</t>
  </si>
  <si>
    <t>FY24 Forecast</t>
  </si>
  <si>
    <t>FY23-Q2</t>
  </si>
  <si>
    <t>FY23</t>
  </si>
  <si>
    <t>FY24</t>
  </si>
  <si>
    <t>(negative) Churn</t>
  </si>
  <si>
    <t>Ending Core ARR</t>
  </si>
  <si>
    <t>% Growth (y/y)</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</si>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</sst>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8">
    <numFmt numFmtId="164" formatCode="&quot;$&quot;#,##0_);\(&quot;$&quot;#,##0\)"/>
    <numFmt numFmtId="165" formatCode="&quot;$&quot;#,##0_);[Red]\(&quot;$&quot;#,##0\)"/>
    <numFmt numFmtId="166" formatCode="&quot;$&quot;#,##0.00_);[Red]\(&quot;$&quot;#,##0.00\)"/>
    <numFmt numFmtId="167" formatCode="_(&quot;$&quot;* #,##0.00_);_(&quot;$&quot;* \(#,##0.00\);_(&quot;$&quot;* &quot;-&quot;??_);_(@_)"/>
    <numFmt numFmtId="168" formatCode="[$$]#,##0;\([$$]#,##0\);&quot;–&quot;;@"/>
    <numFmt numFmtId="169" formatCode="#,##0;\(#,##0\);&quot;–&quot;;@"/>
    <numFmt numFmtId="170" formatCode="_(#,##0.0%_);\(#,##0.0%\);_(&quot;–&quot;_)_%;_(@_)_%"/>
    <numFmt numFmtId="171" formatCode="mmm\-yyyy"/>
    <numFmt numFmtId="172" formatCode="0.0\x;\(0.0\x\);&quot;–&quot;"/>
    <numFmt numFmtId="173" formatCode="&quot;$&quot;#,##0_);\(&quot;$&quot;#,##0\);&quot;$&quot;#,##0_);@_)"/>
    <numFmt numFmtId="174" formatCode="#,##0.0%_);\(#,##0.0%\);#,##0.0%_);@_)"/>
    <numFmt numFmtId="175" formatCode="#,##0_);\(#,##0\);&quot;-&quot;_);@_)"/>
    <numFmt numFmtId="176" formatCode="#,##0.0\x_);\(#,##0.0\x\);#,##0.0\x_);@_)"/>
    <numFmt numFmtId="177" formatCode="#,##0.0_);\(#,##0.0\);&quot;-&quot;_);@_)"/>
    <numFmt numFmtId="178" formatCode="#,##0%_);\(#,##0%\);#,##0%_);@_)"/>
    <numFmt numFmtId="179" formatCode="&quot;$&quot;#,##0"/>
    <numFmt numFmtId="180" formatCode="#,##0.0%;\(#,##0.0%\);&quot;–&quot;;@"/>
    <numFmt numFmtId="181" formatCode="_(* #,##0.0\x;_(* \(#,##0.0\)\x;_(* &quot;   -&quot;?_)"/>
    <numFmt numFmtId="182" formatCode="_(* &quot;$&quot;\ #,##0.00_);_(* &quot;$&quot;\ \(#,##0.00\);_(* &quot;&quot;&quot;$&quot;\ \ \-&quot;&quot;?_);_(@_)"/>
    <numFmt numFmtId="183" formatCode="_(* #,##0_);_(* \(#,##0\);_(* &quot;   -&quot;?_);_(@_)"/>
    <numFmt numFmtId="184" formatCode="_(* &quot;$&quot;\ #,##0_);_(* &quot;$&quot;\ \(#,##0\);_(* &quot;&quot;&quot;$&quot;\ \ \-&quot;&quot;?_);_(@_)"/>
    <numFmt numFmtId="185" formatCode="_(* #,##0.0%;_(* \(#,##0.0\)%;_(* &quot;   -&quot;?_)"/>
    <numFmt numFmtId="186" formatCode="0.0%"/>
    <numFmt numFmtId="187" formatCode="#,##0.00;[Red]\(#,##0.00\)"/>
    <numFmt numFmtId="188" formatCode="dd\-mmm\-yyyy"/>
    <numFmt numFmtId="189" formatCode="#,##0.00\x;[Red]\-#,##0.00\x"/>
    <numFmt numFmtId="190" formatCode="#,###"/>
    <numFmt numFmtId="191" formatCode="[$$-380A]\ #,##0.00;\-[$$-380A]\ #,##0.00"/>
    <numFmt numFmtId="192" formatCode="[$$-380A]\ #,##0;\-[$$-380A]\ #,##0"/>
    <numFmt numFmtId="193" formatCode="_(#,##0_)_%;\(#,##0\)_%;_(&quot;–&quot;_)_%;_(@_)_%"/>
    <numFmt numFmtId="194" formatCode="#,##0.00;\(#,##0.00\);&quot;–&quot;;@"/>
    <numFmt numFmtId="195" formatCode="_(#,##0.000_)_%;\(#,##0.000\)_%;_(&quot;–&quot;_)_%;_(@_)_%"/>
    <numFmt numFmtId="196" formatCode="_(&quot;$&quot;* #,##0_);_(&quot;$&quot;* \(#,##0\);_(&quot;$&quot;* &quot;-&quot;??_);_(@_)"/>
    <numFmt numFmtId="197" formatCode="&quot;$&quot;#,##0.00"/>
    <numFmt numFmtId="198" formatCode="0.0\x"/>
    <numFmt numFmtId="199" formatCode="\$#,##0_);\(\$#,##0\);\$#,##0_);@_)"/>
    <numFmt numFmtId="200" formatCode="#,##0\ ;\(#,##0\)"/>
    <numFmt numFmtId="201" formatCode="#,##0.00;\(#,##0.00\)"/>
  </numFmts>
  <fonts count="38" x14ac:knownFonts="1">
    <font>
      <sz val="11"/>
      <color theme="1"/>
      <name val="Calibri"/>
      <family val="2"/>
      <scheme val="minor"/>
    </font>
    <font>
      <b/>
      <sz val="11"/>
      <color theme="1"/>
      <name val="Calibri"/>
      <family val="2"/>
      <scheme val="minor"/>
    </font>
    <font>
      <i/>
      <sz val="11"/>
      <color theme="1"/>
      <name val="Calibri"/>
      <family val="2"/>
      <scheme val="minor"/>
    </font>
    <font>
      <b/>
      <sz val="9"/>
      <color theme="1"/>
      <name val="Calibri"/>
      <family val="2"/>
    </font>
    <font>
      <b/>
      <sz val="9"/>
      <color theme="0"/>
      <name val="Calibri"/>
      <family val="2"/>
    </font>
    <font>
      <b/>
      <sz val="9"/>
      <color rgb="FFFFFFFF"/>
      <name val="Calibri"/>
      <family val="2"/>
    </font>
    <font>
      <sz val="9"/>
      <color theme="1"/>
      <name val="Calibri"/>
      <family val="2"/>
    </font>
    <font>
      <sz val="9"/>
      <color rgb="FF333333"/>
      <name val="Calibri"/>
      <family val="2"/>
    </font>
    <font>
      <sz val="9"/>
      <color rgb="FFFF0000"/>
      <name val="Calibri"/>
      <family val="2"/>
    </font>
    <font>
      <sz val="11"/>
      <color theme="1"/>
      <name val="Calibri"/>
      <family val="2"/>
      <scheme val="minor"/>
    </font>
    <font>
      <b/>
      <i/>
      <sz val="11"/>
      <color theme="1"/>
      <name val="Calibri"/>
      <family val="2"/>
      <scheme val="minor"/>
    </font>
    <font>
      <sz val="11"/>
      <color rgb="FF00B050"/>
      <name val="Calibri"/>
      <family val="2"/>
      <scheme val="minor"/>
    </font>
    <font>
      <sz val="10"/>
      <color rgb="FF000000"/>
      <name val="Calibri"/>
      <family val="2"/>
      <scheme val="minor"/>
    </font>
    <font>
      <sz val="9"/>
      <color rgb="FF0000FF"/>
      <name val="Calibri"/>
      <family val="2"/>
    </font>
    <font>
      <i/>
      <sz val="9"/>
      <color theme="1"/>
      <name val="Calibri"/>
      <family val="2"/>
    </font>
    <font>
      <b/>
      <sz val="9"/>
      <color rgb="FF333333"/>
      <name val="Calibri"/>
      <family val="2"/>
    </font>
    <font>
      <sz val="9"/>
      <color rgb="FF008000"/>
      <name val="Calibri"/>
      <family val="2"/>
    </font>
    <font>
      <i/>
      <sz val="9"/>
      <color rgb="FF333333"/>
      <name val="Calibri"/>
      <family val="2"/>
    </font>
    <font>
      <sz val="10"/>
      <color theme="1"/>
      <name val="Arial"/>
      <family val="2"/>
    </font>
    <font>
      <b/>
      <sz val="10"/>
      <color rgb="FF000000"/>
      <name val="Calibri"/>
      <family val="2"/>
      <scheme val="minor"/>
    </font>
    <font>
      <b/>
      <u/>
      <sz val="10"/>
      <color rgb="FF000000"/>
      <name val="Calibri"/>
      <family val="2"/>
      <scheme val="minor"/>
    </font>
    <font>
      <b/>
      <sz val="8"/>
      <color indexed="9"/>
      <name val="Calibri Light"/>
      <family val="2"/>
      <scheme val="major"/>
    </font>
    <font>
      <sz val="8"/>
      <color theme="1"/>
      <name val="Calibri Light"/>
      <family val="2"/>
      <scheme val="major"/>
    </font>
    <font>
      <sz val="8"/>
      <name val="Calibri Light"/>
      <family val="2"/>
      <scheme val="major"/>
    </font>
    <font>
      <sz val="8"/>
      <color rgb="FF0000FF"/>
      <name val="Calibri Light"/>
      <family val="2"/>
      <scheme val="major"/>
    </font>
    <font>
      <sz val="8"/>
      <color rgb="FF000000"/>
      <name val="Calibri Light"/>
      <family val="2"/>
      <scheme val="major"/>
    </font>
    <font>
      <b/>
      <sz val="8"/>
      <color rgb="FF000000"/>
      <name val="Calibri Light"/>
      <family val="2"/>
      <scheme val="major"/>
    </font>
    <font>
      <i/>
      <sz val="10"/>
      <name val="Calibri Light"/>
      <family val="2"/>
      <scheme val="major"/>
    </font>
    <font>
      <i/>
      <sz val="10"/>
      <color rgb="FF000000"/>
      <name val="Calibri Light"/>
      <family val="2"/>
      <scheme val="major"/>
    </font>
    <font>
      <b/>
      <u/>
      <sz val="11"/>
      <color theme="1"/>
      <name val="Calibri"/>
      <family val="2"/>
      <scheme val="minor"/>
    </font>
    <font>
      <sz val="9"/>
      <name val="Calibri"/>
      <family val="2"/>
    </font>
    <font>
      <b/>
      <u/>
      <sz val="8"/>
      <color indexed="9"/>
      <name val="Calibri Light"/>
      <family val="2"/>
      <scheme val="major"/>
    </font>
    <font>
      <sz val="8"/>
      <color rgb="FF000000"/>
      <name val="Calibri"/>
      <family val="2"/>
      <scheme val="minor"/>
    </font>
    <font>
      <sz val="9"/>
      <color theme="1"/>
      <name val="Calibri"/>
      <family val="2"/>
      <scheme val="minor"/>
    </font>
    <font>
      <b/>
      <sz val="9"/>
      <color theme="1"/>
      <name val="Calibri"/>
      <family val="2"/>
      <scheme val="minor"/>
    </font>
    <font>
      <b/>
      <sz val="9"/>
      <color rgb="FFFFFFFF"/>
      <name val="Calibri"/>
      <family val="2"/>
      <scheme val="minor"/>
    </font>
    <font>
      <sz val="9"/>
      <color rgb="FFFFFFFF"/>
      <name val="Calibri"/>
      <family val="2"/>
      <scheme val="minor"/>
    </font>
    <font>
      <i/>
      <sz val="9"/>
      <color theme="1"/>
      <name val="Calibri"/>
      <family val="2"/>
      <scheme val="minor"/>
    </font>
  </fonts>
  <fills count="23">
    <fill>
      <patternFill patternType="none"/>
    </fill>
    <fill>
      <patternFill patternType="gray125"/>
    </fill>
    <fill>
      <patternFill patternType="solid">
        <fgColor theme="0" tint="-0.14999847407452621"/>
        <bgColor indexed="64"/>
      </patternFill>
    </fill>
    <fill>
      <patternFill patternType="solid">
        <fgColor rgb="FF3D3D3D"/>
        <bgColor rgb="FF3D3D3D"/>
      </patternFill>
    </fill>
    <fill>
      <patternFill patternType="solid">
        <fgColor theme="9" tint="0.79998168889431442"/>
        <bgColor indexed="64"/>
      </patternFill>
    </fill>
    <fill>
      <patternFill patternType="solid">
        <fgColor theme="0"/>
        <bgColor indexed="64"/>
      </patternFill>
    </fill>
    <fill>
      <patternFill patternType="solid">
        <fgColor rgb="FFF2F2F2"/>
        <bgColor rgb="FFF2F2F2"/>
      </patternFill>
    </fill>
    <fill>
      <patternFill patternType="solid">
        <fgColor rgb="FFC9DAF8"/>
        <bgColor rgb="FFC9DAF8"/>
      </patternFill>
    </fill>
    <fill>
      <patternFill patternType="solid">
        <fgColor rgb="FF4A86E8"/>
        <bgColor rgb="FF4A86E8"/>
      </patternFill>
    </fill>
    <fill>
      <patternFill patternType="solid">
        <fgColor rgb="FF848484"/>
        <bgColor rgb="FF848484"/>
      </patternFill>
    </fill>
    <fill>
      <patternFill patternType="solid">
        <fgColor rgb="FFD8D8D8"/>
        <bgColor rgb="FFD8D8D8"/>
      </patternFill>
    </fill>
    <fill>
      <patternFill patternType="solid">
        <fgColor theme="0"/>
        <bgColor theme="0"/>
      </patternFill>
    </fill>
    <fill>
      <patternFill patternType="solid">
        <fgColor theme="8" tint="0.79998168889431442"/>
        <bgColor indexed="64"/>
      </patternFill>
    </fill>
    <fill>
      <patternFill patternType="solid">
        <fgColor rgb="FF4F81BD"/>
        <bgColor indexed="64"/>
      </patternFill>
    </fill>
    <fill>
      <patternFill patternType="solid">
        <fgColor theme="9" tint="0.79998168889431442"/>
        <bgColor rgb="FFD8D8D8"/>
      </patternFill>
    </fill>
    <fill>
      <patternFill patternType="solid">
        <fgColor rgb="FFFFFF00"/>
        <bgColor indexed="64"/>
      </patternFill>
    </fill>
    <fill>
      <patternFill patternType="solid">
        <fgColor theme="4" tint="0.79998168889431442"/>
        <bgColor indexed="64"/>
      </patternFill>
    </fill>
    <fill>
      <patternFill patternType="solid">
        <fgColor rgb="FF848484"/>
        <bgColor indexed="64"/>
      </patternFill>
    </fill>
    <fill>
      <patternFill patternType="solid">
        <fgColor rgb="FFF2F2F2"/>
        <bgColor indexed="64"/>
      </patternFill>
    </fill>
    <fill>
      <patternFill patternType="solid">
        <fgColor rgb="FF4A86E8"/>
        <bgColor indexed="64"/>
      </patternFill>
    </fill>
    <fill>
      <patternFill patternType="solid">
        <fgColor rgb="FF3D3D3D"/>
        <bgColor indexed="64"/>
      </patternFill>
    </fill>
    <fill>
      <patternFill patternType="solid">
        <fgColor rgb="FFC9DAF8"/>
        <bgColor indexed="64"/>
      </patternFill>
    </fill>
    <fill>
      <patternFill patternType="solid">
        <fgColor rgb="FFE2F0D9"/>
        <bgColor indexed="64"/>
      </patternFill>
    </fill>
  </fills>
  <borders count="38">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thin">
        <color rgb="FFBFBFBF"/>
      </bottom>
      <diagonal/>
    </border>
    <border>
      <left/>
      <right/>
      <top style="thin">
        <color rgb="FFBFBFBF"/>
      </top>
      <bottom style="thin">
        <color rgb="FFBFBFBF"/>
      </bottom>
      <diagonal/>
    </border>
    <border>
      <left/>
      <right style="medium">
        <color indexed="64"/>
      </right>
      <top style="medium">
        <color indexed="64"/>
      </top>
      <bottom style="medium">
        <color indexed="64"/>
      </bottom>
      <diagonal/>
    </border>
    <border>
      <left/>
      <right/>
      <top style="thin">
        <color rgb="FFBFBFBF"/>
      </top>
      <bottom/>
      <diagonal/>
    </border>
    <border>
      <left style="thin">
        <color rgb="FFCCCCCC"/>
      </left>
      <right/>
      <top/>
      <bottom/>
      <diagonal/>
    </border>
    <border>
      <left style="thin">
        <color rgb="FFCCCCCC"/>
      </left>
      <right/>
      <top/>
      <bottom style="thin">
        <color rgb="FFBFBFBF"/>
      </bottom>
      <diagonal/>
    </border>
    <border>
      <left style="thin">
        <color rgb="FFCCCCCC"/>
      </left>
      <right/>
      <top style="thin">
        <color rgb="FFBFBFBF"/>
      </top>
      <bottom/>
      <diagonal/>
    </border>
    <border>
      <left/>
      <right/>
      <top style="thin">
        <color rgb="FFBFBFBF"/>
      </top>
      <bottom style="double">
        <color rgb="FFBFBFBF"/>
      </bottom>
      <diagonal/>
    </border>
    <border>
      <left style="thin">
        <color rgb="FFCCCCCC"/>
      </left>
      <right/>
      <top style="thin">
        <color rgb="FFBFBFBF"/>
      </top>
      <bottom style="double">
        <color rgb="FFBFBFBF"/>
      </bottom>
      <diagonal/>
    </border>
    <border>
      <left/>
      <right/>
      <top/>
      <bottom style="double">
        <color rgb="FFBFBFBF"/>
      </bottom>
      <diagonal/>
    </border>
    <border>
      <left style="thin">
        <color rgb="FFCCCCCC"/>
      </left>
      <right/>
      <top/>
      <bottom style="double">
        <color rgb="FFBFBFBF"/>
      </bottom>
      <diagonal/>
    </border>
    <border>
      <left/>
      <right style="dotted">
        <color rgb="FF969696"/>
      </right>
      <top/>
      <bottom/>
      <diagonal/>
    </border>
    <border>
      <left/>
      <right style="thin">
        <color indexed="8"/>
      </right>
      <top/>
      <bottom/>
      <diagonal/>
    </border>
    <border>
      <left style="hair">
        <color indexed="64"/>
      </left>
      <right style="hair">
        <color indexed="64"/>
      </right>
      <top/>
      <bottom/>
      <diagonal/>
    </border>
    <border>
      <left/>
      <right style="hair">
        <color indexed="64"/>
      </right>
      <top/>
      <bottom style="hair">
        <color indexed="64"/>
      </bottom>
      <diagonal/>
    </border>
    <border>
      <left/>
      <right style="hair">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
    <xf numFmtId="0" fontId="0" fillId="0" borderId="0"/>
    <xf numFmtId="0" fontId="12" fillId="0" borderId="0"/>
    <xf numFmtId="9" fontId="12" fillId="0" borderId="0" applyFont="0" applyFill="0" applyBorder="0" applyAlignment="0" applyProtection="0"/>
    <xf numFmtId="0" fontId="9" fillId="0" borderId="0"/>
    <xf numFmtId="167" fontId="9" fillId="0" borderId="0" applyFont="0" applyFill="0" applyBorder="0" applyAlignment="0" applyProtection="0"/>
    <xf numFmtId="9" fontId="9" fillId="0" borderId="0" applyFont="0" applyFill="0" applyBorder="0" applyAlignment="0" applyProtection="0"/>
  </cellStyleXfs>
  <cellXfs count="289">
    <xf numFmtId="0" fontId="0" fillId="0" borderId="0" xfId="0"/>
    <xf numFmtId="0" fontId="1" fillId="0" borderId="0" xfId="0" applyFont="1"/>
    <xf numFmtId="168" fontId="0" fillId="0" borderId="0" xfId="0" applyNumberFormat="1"/>
    <xf numFmtId="0" fontId="1" fillId="0" borderId="0" xfId="0" applyFont="1" applyAlignment="1">
      <alignment horizontal="left"/>
    </xf>
    <xf numFmtId="0" fontId="1" fillId="2" borderId="9" xfId="0" applyFont="1" applyFill="1" applyBorder="1" applyAlignment="1">
      <alignment horizontal="right"/>
    </xf>
    <xf numFmtId="14" fontId="1" fillId="2" borderId="10" xfId="0" applyNumberFormat="1" applyFont="1" applyFill="1" applyBorder="1"/>
    <xf numFmtId="14" fontId="1" fillId="2" borderId="11" xfId="0" applyNumberFormat="1" applyFont="1" applyFill="1" applyBorder="1"/>
    <xf numFmtId="14" fontId="1" fillId="2" borderId="12" xfId="0" applyNumberFormat="1" applyFont="1" applyFill="1" applyBorder="1"/>
    <xf numFmtId="169" fontId="2" fillId="0" borderId="0" xfId="0" applyNumberFormat="1" applyFont="1"/>
    <xf numFmtId="0" fontId="1" fillId="2" borderId="8" xfId="0" applyFont="1" applyFill="1" applyBorder="1" applyAlignment="1">
      <alignment horizontal="right"/>
    </xf>
    <xf numFmtId="0" fontId="1" fillId="2" borderId="18" xfId="0" applyFont="1" applyFill="1" applyBorder="1" applyAlignment="1">
      <alignment horizontal="right"/>
    </xf>
    <xf numFmtId="0" fontId="0" fillId="0" borderId="0" xfId="0" applyAlignment="1">
      <alignment horizontal="centerContinuous"/>
    </xf>
    <xf numFmtId="0" fontId="1" fillId="0" borderId="0" xfId="0" applyFont="1" applyAlignment="1">
      <alignment horizontal="centerContinuous"/>
    </xf>
    <xf numFmtId="0" fontId="2" fillId="0" borderId="0" xfId="0" applyFont="1"/>
    <xf numFmtId="168" fontId="2" fillId="0" borderId="0" xfId="0" applyNumberFormat="1" applyFont="1"/>
    <xf numFmtId="168" fontId="11" fillId="0" borderId="0" xfId="0" applyNumberFormat="1" applyFont="1"/>
    <xf numFmtId="168" fontId="0" fillId="5" borderId="2" xfId="0" applyNumberFormat="1" applyFill="1" applyBorder="1"/>
    <xf numFmtId="170" fontId="0" fillId="5" borderId="2" xfId="0" applyNumberFormat="1" applyFill="1" applyBorder="1"/>
    <xf numFmtId="168" fontId="0" fillId="5" borderId="1" xfId="0" applyNumberFormat="1" applyFill="1" applyBorder="1"/>
    <xf numFmtId="0" fontId="1" fillId="0" borderId="8" xfId="0" applyFont="1" applyBorder="1"/>
    <xf numFmtId="9" fontId="1" fillId="0" borderId="18" xfId="0" applyNumberFormat="1" applyFont="1" applyBorder="1"/>
    <xf numFmtId="168" fontId="1" fillId="0" borderId="18" xfId="0" applyNumberFormat="1" applyFont="1" applyBorder="1"/>
    <xf numFmtId="169" fontId="0" fillId="5" borderId="2" xfId="0" applyNumberFormat="1" applyFill="1" applyBorder="1"/>
    <xf numFmtId="170" fontId="1" fillId="0" borderId="0" xfId="0" applyNumberFormat="1" applyFont="1"/>
    <xf numFmtId="172" fontId="0" fillId="5" borderId="2" xfId="0" applyNumberFormat="1" applyFill="1" applyBorder="1"/>
    <xf numFmtId="172" fontId="1" fillId="0" borderId="0" xfId="0" applyNumberFormat="1" applyFont="1"/>
    <xf numFmtId="0" fontId="10" fillId="0" borderId="0" xfId="0" applyFont="1"/>
    <xf numFmtId="0" fontId="6" fillId="0" borderId="0" xfId="1" applyFont="1"/>
    <xf numFmtId="0" fontId="12" fillId="0" borderId="0" xfId="1"/>
    <xf numFmtId="0" fontId="6" fillId="6" borderId="19" xfId="1" applyFont="1" applyFill="1" applyBorder="1"/>
    <xf numFmtId="14" fontId="13" fillId="6" borderId="19" xfId="1" applyNumberFormat="1" applyFont="1" applyFill="1" applyBorder="1"/>
    <xf numFmtId="14" fontId="6" fillId="6" borderId="19" xfId="1" applyNumberFormat="1" applyFont="1" applyFill="1" applyBorder="1"/>
    <xf numFmtId="0" fontId="6" fillId="6" borderId="16" xfId="1" applyFont="1" applyFill="1" applyBorder="1"/>
    <xf numFmtId="14" fontId="6" fillId="6" borderId="16" xfId="1" applyNumberFormat="1" applyFont="1" applyFill="1" applyBorder="1"/>
    <xf numFmtId="0" fontId="6" fillId="6" borderId="0" xfId="1" applyFont="1" applyFill="1" applyAlignment="1">
      <alignment vertical="center"/>
    </xf>
    <xf numFmtId="0" fontId="6" fillId="6" borderId="16" xfId="1" applyFont="1" applyFill="1" applyBorder="1" applyAlignment="1">
      <alignment vertical="center"/>
    </xf>
    <xf numFmtId="0" fontId="3" fillId="0" borderId="0" xfId="1" applyFont="1"/>
    <xf numFmtId="0" fontId="5" fillId="0" borderId="0" xfId="1" applyFont="1"/>
    <xf numFmtId="0" fontId="14" fillId="0" borderId="16" xfId="1" applyFont="1" applyBorder="1"/>
    <xf numFmtId="0" fontId="3" fillId="7" borderId="0" xfId="1" applyFont="1" applyFill="1" applyAlignment="1">
      <alignment vertical="center"/>
    </xf>
    <xf numFmtId="0" fontId="3" fillId="7" borderId="0" xfId="1" applyFont="1" applyFill="1" applyAlignment="1">
      <alignment horizontal="right" vertical="center"/>
    </xf>
    <xf numFmtId="0" fontId="4" fillId="8" borderId="20" xfId="1" applyFont="1" applyFill="1" applyBorder="1" applyAlignment="1">
      <alignment horizontal="right" vertical="center"/>
    </xf>
    <xf numFmtId="0" fontId="4" fillId="8" borderId="0" xfId="1" applyFont="1" applyFill="1" applyAlignment="1">
      <alignment horizontal="right" vertical="center"/>
    </xf>
    <xf numFmtId="0" fontId="4" fillId="3" borderId="0" xfId="1" applyFont="1" applyFill="1" applyAlignment="1">
      <alignment vertical="center"/>
    </xf>
    <xf numFmtId="0" fontId="4" fillId="3" borderId="0" xfId="1" applyFont="1" applyFill="1" applyAlignment="1">
      <alignment horizontal="right" vertical="center"/>
    </xf>
    <xf numFmtId="0" fontId="4" fillId="3" borderId="20" xfId="1" applyFont="1" applyFill="1" applyBorder="1" applyAlignment="1">
      <alignment horizontal="right" vertical="center"/>
    </xf>
    <xf numFmtId="0" fontId="7" fillId="0" borderId="20" xfId="1" applyFont="1" applyBorder="1"/>
    <xf numFmtId="0" fontId="4" fillId="9" borderId="0" xfId="1" applyFont="1" applyFill="1" applyAlignment="1">
      <alignment vertical="center"/>
    </xf>
    <xf numFmtId="0" fontId="4" fillId="9" borderId="0" xfId="1" applyFont="1" applyFill="1" applyAlignment="1">
      <alignment horizontal="right" vertical="center"/>
    </xf>
    <xf numFmtId="0" fontId="4" fillId="9" borderId="20" xfId="1" applyFont="1" applyFill="1" applyBorder="1" applyAlignment="1">
      <alignment horizontal="right" vertical="center"/>
    </xf>
    <xf numFmtId="0" fontId="6" fillId="0" borderId="0" xfId="1" applyFont="1" applyAlignment="1">
      <alignment vertical="center"/>
    </xf>
    <xf numFmtId="0" fontId="6" fillId="10" borderId="0" xfId="1" applyFont="1" applyFill="1" applyAlignment="1">
      <alignment vertical="center"/>
    </xf>
    <xf numFmtId="0" fontId="6" fillId="0" borderId="20" xfId="1" applyFont="1" applyBorder="1" applyAlignment="1">
      <alignment vertical="center"/>
    </xf>
    <xf numFmtId="0" fontId="15" fillId="0" borderId="16" xfId="1" applyFont="1" applyBorder="1" applyAlignment="1">
      <alignment horizontal="left" vertical="center"/>
    </xf>
    <xf numFmtId="173" fontId="3" fillId="0" borderId="16" xfId="1" applyNumberFormat="1" applyFont="1" applyBorder="1" applyAlignment="1">
      <alignment horizontal="right" vertical="center"/>
    </xf>
    <xf numFmtId="173" fontId="3" fillId="10" borderId="16" xfId="1" applyNumberFormat="1" applyFont="1" applyFill="1" applyBorder="1" applyAlignment="1">
      <alignment horizontal="right" vertical="center"/>
    </xf>
    <xf numFmtId="173" fontId="3" fillId="0" borderId="21" xfId="1" applyNumberFormat="1" applyFont="1" applyBorder="1" applyAlignment="1">
      <alignment horizontal="right" vertical="center"/>
    </xf>
    <xf numFmtId="173" fontId="16" fillId="0" borderId="0" xfId="1" applyNumberFormat="1" applyFont="1" applyAlignment="1">
      <alignment vertical="center"/>
    </xf>
    <xf numFmtId="173" fontId="6" fillId="0" borderId="0" xfId="1" applyNumberFormat="1" applyFont="1" applyAlignment="1">
      <alignment vertical="center"/>
    </xf>
    <xf numFmtId="173" fontId="6" fillId="10" borderId="0" xfId="1" applyNumberFormat="1" applyFont="1" applyFill="1" applyAlignment="1">
      <alignment vertical="center"/>
    </xf>
    <xf numFmtId="173" fontId="6" fillId="0" borderId="20" xfId="1" applyNumberFormat="1" applyFont="1" applyBorder="1" applyAlignment="1">
      <alignment vertical="center"/>
    </xf>
    <xf numFmtId="0" fontId="3" fillId="0" borderId="19" xfId="1" applyFont="1" applyBorder="1" applyAlignment="1">
      <alignment vertical="center"/>
    </xf>
    <xf numFmtId="173" fontId="3" fillId="0" borderId="19" xfId="1" applyNumberFormat="1" applyFont="1" applyBorder="1" applyAlignment="1">
      <alignment vertical="center"/>
    </xf>
    <xf numFmtId="173" fontId="3" fillId="10" borderId="19" xfId="1" applyNumberFormat="1" applyFont="1" applyFill="1" applyBorder="1" applyAlignment="1">
      <alignment vertical="center"/>
    </xf>
    <xf numFmtId="173" fontId="3" fillId="0" borderId="22" xfId="1" applyNumberFormat="1" applyFont="1" applyBorder="1" applyAlignment="1">
      <alignment vertical="center"/>
    </xf>
    <xf numFmtId="0" fontId="14" fillId="0" borderId="0" xfId="1" applyFont="1" applyAlignment="1">
      <alignment horizontal="left" vertical="center"/>
    </xf>
    <xf numFmtId="173" fontId="14" fillId="0" borderId="0" xfId="1" applyNumberFormat="1" applyFont="1" applyAlignment="1">
      <alignment horizontal="right" vertical="center"/>
    </xf>
    <xf numFmtId="174" fontId="14" fillId="10" borderId="0" xfId="1" applyNumberFormat="1" applyFont="1" applyFill="1" applyAlignment="1">
      <alignment horizontal="right" vertical="center"/>
    </xf>
    <xf numFmtId="173" fontId="14" fillId="0" borderId="20" xfId="1" applyNumberFormat="1" applyFont="1" applyBorder="1" applyAlignment="1">
      <alignment horizontal="right" vertical="center"/>
    </xf>
    <xf numFmtId="0" fontId="6" fillId="0" borderId="0" xfId="1" applyFont="1" applyAlignment="1">
      <alignment horizontal="left" vertical="center"/>
    </xf>
    <xf numFmtId="175" fontId="6" fillId="0" borderId="0" xfId="1" applyNumberFormat="1" applyFont="1" applyAlignment="1">
      <alignment horizontal="right" vertical="center"/>
    </xf>
    <xf numFmtId="175" fontId="6" fillId="10" borderId="0" xfId="1" applyNumberFormat="1" applyFont="1" applyFill="1" applyAlignment="1">
      <alignment horizontal="right" vertical="center"/>
    </xf>
    <xf numFmtId="175" fontId="6" fillId="11" borderId="0" xfId="1" applyNumberFormat="1" applyFont="1" applyFill="1" applyAlignment="1">
      <alignment horizontal="right" vertical="center"/>
    </xf>
    <xf numFmtId="175" fontId="6" fillId="0" borderId="20" xfId="1" applyNumberFormat="1" applyFont="1" applyBorder="1" applyAlignment="1">
      <alignment horizontal="right" vertical="center"/>
    </xf>
    <xf numFmtId="173" fontId="6" fillId="0" borderId="0" xfId="1" applyNumberFormat="1" applyFont="1" applyAlignment="1">
      <alignment horizontal="right" vertical="center"/>
    </xf>
    <xf numFmtId="173" fontId="6" fillId="10" borderId="0" xfId="1" applyNumberFormat="1" applyFont="1" applyFill="1" applyAlignment="1">
      <alignment horizontal="right" vertical="center"/>
    </xf>
    <xf numFmtId="173" fontId="6" fillId="0" borderId="20" xfId="1" applyNumberFormat="1" applyFont="1" applyBorder="1" applyAlignment="1">
      <alignment horizontal="right" vertical="center"/>
    </xf>
    <xf numFmtId="0" fontId="7" fillId="0" borderId="0" xfId="1" applyFont="1" applyAlignment="1">
      <alignment horizontal="left" vertical="center"/>
    </xf>
    <xf numFmtId="0" fontId="3" fillId="0" borderId="0" xfId="1" applyFont="1" applyAlignment="1">
      <alignment horizontal="left" vertical="center"/>
    </xf>
    <xf numFmtId="173" fontId="3" fillId="0" borderId="0" xfId="1" applyNumberFormat="1" applyFont="1" applyAlignment="1">
      <alignment horizontal="right" vertical="center"/>
    </xf>
    <xf numFmtId="173" fontId="3" fillId="10" borderId="0" xfId="1" applyNumberFormat="1" applyFont="1" applyFill="1" applyAlignment="1">
      <alignment horizontal="right" vertical="center"/>
    </xf>
    <xf numFmtId="173" fontId="3" fillId="0" borderId="20" xfId="1" applyNumberFormat="1" applyFont="1" applyBorder="1" applyAlignment="1">
      <alignment horizontal="right" vertical="center"/>
    </xf>
    <xf numFmtId="173" fontId="3" fillId="0" borderId="19" xfId="1" applyNumberFormat="1" applyFont="1" applyBorder="1" applyAlignment="1">
      <alignment horizontal="right" vertical="center"/>
    </xf>
    <xf numFmtId="173" fontId="3" fillId="10" borderId="19" xfId="1" applyNumberFormat="1" applyFont="1" applyFill="1" applyBorder="1" applyAlignment="1">
      <alignment horizontal="right" vertical="center"/>
    </xf>
    <xf numFmtId="173" fontId="3" fillId="0" borderId="22" xfId="1" applyNumberFormat="1" applyFont="1" applyBorder="1" applyAlignment="1">
      <alignment horizontal="right" vertical="center"/>
    </xf>
    <xf numFmtId="0" fontId="14" fillId="0" borderId="16" xfId="1" applyFont="1" applyBorder="1" applyAlignment="1">
      <alignment vertical="center"/>
    </xf>
    <xf numFmtId="178" fontId="14" fillId="0" borderId="16" xfId="1" applyNumberFormat="1" applyFont="1" applyBorder="1" applyAlignment="1">
      <alignment vertical="center"/>
    </xf>
    <xf numFmtId="178" fontId="14" fillId="10" borderId="16" xfId="1" applyNumberFormat="1" applyFont="1" applyFill="1" applyBorder="1" applyAlignment="1">
      <alignment vertical="center"/>
    </xf>
    <xf numFmtId="178" fontId="14" fillId="0" borderId="21" xfId="1" applyNumberFormat="1" applyFont="1" applyBorder="1" applyAlignment="1">
      <alignment vertical="center"/>
    </xf>
    <xf numFmtId="0" fontId="3" fillId="0" borderId="23" xfId="1" applyFont="1" applyBorder="1" applyAlignment="1">
      <alignment vertical="center"/>
    </xf>
    <xf numFmtId="173" fontId="3" fillId="0" borderId="23" xfId="1" applyNumberFormat="1" applyFont="1" applyBorder="1" applyAlignment="1">
      <alignment horizontal="right" vertical="center"/>
    </xf>
    <xf numFmtId="173" fontId="3" fillId="10" borderId="23" xfId="1" applyNumberFormat="1" applyFont="1" applyFill="1" applyBorder="1" applyAlignment="1">
      <alignment horizontal="right" vertical="center"/>
    </xf>
    <xf numFmtId="173" fontId="3" fillId="0" borderId="24" xfId="1" applyNumberFormat="1" applyFont="1" applyBorder="1" applyAlignment="1">
      <alignment horizontal="right" vertical="center"/>
    </xf>
    <xf numFmtId="175" fontId="14" fillId="0" borderId="0" xfId="1" applyNumberFormat="1" applyFont="1" applyAlignment="1">
      <alignment horizontal="right" vertical="center"/>
    </xf>
    <xf numFmtId="175" fontId="14" fillId="10" borderId="0" xfId="1" applyNumberFormat="1" applyFont="1" applyFill="1" applyAlignment="1">
      <alignment horizontal="right" vertical="center"/>
    </xf>
    <xf numFmtId="175" fontId="14" fillId="0" borderId="20" xfId="1" applyNumberFormat="1" applyFont="1" applyBorder="1" applyAlignment="1">
      <alignment horizontal="right" vertical="center"/>
    </xf>
    <xf numFmtId="177" fontId="14" fillId="0" borderId="0" xfId="1" applyNumberFormat="1" applyFont="1" applyAlignment="1">
      <alignment horizontal="right" vertical="center"/>
    </xf>
    <xf numFmtId="177" fontId="14" fillId="10" borderId="0" xfId="1" applyNumberFormat="1" applyFont="1" applyFill="1" applyAlignment="1">
      <alignment horizontal="right" vertical="center"/>
    </xf>
    <xf numFmtId="177" fontId="14" fillId="0" borderId="20" xfId="1" applyNumberFormat="1" applyFont="1" applyBorder="1" applyAlignment="1">
      <alignment horizontal="right" vertical="center"/>
    </xf>
    <xf numFmtId="0" fontId="5" fillId="9" borderId="0" xfId="1" applyFont="1" applyFill="1" applyAlignment="1">
      <alignment vertical="center"/>
    </xf>
    <xf numFmtId="0" fontId="6" fillId="0" borderId="19" xfId="1" applyFont="1" applyBorder="1" applyAlignment="1">
      <alignment horizontal="left" vertical="center"/>
    </xf>
    <xf numFmtId="173" fontId="13" fillId="0" borderId="19" xfId="1" applyNumberFormat="1" applyFont="1" applyBorder="1" applyAlignment="1">
      <alignment horizontal="right" vertical="center"/>
    </xf>
    <xf numFmtId="173" fontId="6" fillId="0" borderId="19" xfId="1" applyNumberFormat="1" applyFont="1" applyBorder="1" applyAlignment="1">
      <alignment horizontal="right" vertical="center"/>
    </xf>
    <xf numFmtId="173" fontId="6" fillId="10" borderId="19" xfId="1" applyNumberFormat="1" applyFont="1" applyFill="1" applyBorder="1" applyAlignment="1">
      <alignment horizontal="right" vertical="center"/>
    </xf>
    <xf numFmtId="173" fontId="6" fillId="0" borderId="22" xfId="1" applyNumberFormat="1" applyFont="1" applyBorder="1" applyAlignment="1">
      <alignment horizontal="right" vertical="center"/>
    </xf>
    <xf numFmtId="0" fontId="3" fillId="0" borderId="25" xfId="1" applyFont="1" applyBorder="1" applyAlignment="1">
      <alignment horizontal="left" vertical="center"/>
    </xf>
    <xf numFmtId="173" fontId="3" fillId="0" borderId="25" xfId="1" applyNumberFormat="1" applyFont="1" applyBorder="1" applyAlignment="1">
      <alignment horizontal="right" vertical="center"/>
    </xf>
    <xf numFmtId="173" fontId="3" fillId="10" borderId="25" xfId="1" applyNumberFormat="1" applyFont="1" applyFill="1" applyBorder="1" applyAlignment="1">
      <alignment horizontal="right" vertical="center"/>
    </xf>
    <xf numFmtId="173" fontId="3" fillId="0" borderId="26" xfId="1" applyNumberFormat="1" applyFont="1" applyBorder="1" applyAlignment="1">
      <alignment horizontal="right" vertical="center"/>
    </xf>
    <xf numFmtId="0" fontId="15" fillId="0" borderId="0" xfId="1" applyFont="1" applyAlignment="1">
      <alignment vertical="center"/>
    </xf>
    <xf numFmtId="175" fontId="3" fillId="0" borderId="0" xfId="1" applyNumberFormat="1" applyFont="1" applyAlignment="1">
      <alignment vertical="center"/>
    </xf>
    <xf numFmtId="175" fontId="3" fillId="10" borderId="0" xfId="1" applyNumberFormat="1" applyFont="1" applyFill="1" applyAlignment="1">
      <alignment vertical="center"/>
    </xf>
    <xf numFmtId="175" fontId="3" fillId="0" borderId="20" xfId="1" applyNumberFormat="1" applyFont="1" applyBorder="1" applyAlignment="1">
      <alignment vertical="center"/>
    </xf>
    <xf numFmtId="175" fontId="6" fillId="0" borderId="0" xfId="1" applyNumberFormat="1" applyFont="1" applyAlignment="1">
      <alignment vertical="center"/>
    </xf>
    <xf numFmtId="175" fontId="6" fillId="10" borderId="0" xfId="1" applyNumberFormat="1" applyFont="1" applyFill="1" applyAlignment="1">
      <alignment vertical="center"/>
    </xf>
    <xf numFmtId="175" fontId="6" fillId="0" borderId="20" xfId="1" applyNumberFormat="1" applyFont="1" applyBorder="1" applyAlignment="1">
      <alignment vertical="center"/>
    </xf>
    <xf numFmtId="0" fontId="15" fillId="0" borderId="19" xfId="1" applyFont="1" applyBorder="1" applyAlignment="1">
      <alignment vertical="center"/>
    </xf>
    <xf numFmtId="175" fontId="15" fillId="0" borderId="19" xfId="1" applyNumberFormat="1" applyFont="1" applyBorder="1" applyAlignment="1">
      <alignment vertical="center"/>
    </xf>
    <xf numFmtId="175" fontId="15" fillId="10" borderId="19" xfId="1" applyNumberFormat="1" applyFont="1" applyFill="1" applyBorder="1" applyAlignment="1">
      <alignment vertical="center"/>
    </xf>
    <xf numFmtId="175" fontId="15" fillId="0" borderId="22" xfId="1" applyNumberFormat="1" applyFont="1" applyBorder="1" applyAlignment="1">
      <alignment vertical="center"/>
    </xf>
    <xf numFmtId="0" fontId="15" fillId="0" borderId="23" xfId="1" applyFont="1" applyBorder="1" applyAlignment="1">
      <alignment vertical="center"/>
    </xf>
    <xf numFmtId="175" fontId="15" fillId="0" borderId="23" xfId="1" applyNumberFormat="1" applyFont="1" applyBorder="1" applyAlignment="1">
      <alignment vertical="center"/>
    </xf>
    <xf numFmtId="175" fontId="15" fillId="10" borderId="23" xfId="1" applyNumberFormat="1" applyFont="1" applyFill="1" applyBorder="1" applyAlignment="1">
      <alignment vertical="center"/>
    </xf>
    <xf numFmtId="175" fontId="15" fillId="0" borderId="24" xfId="1" applyNumberFormat="1" applyFont="1" applyBorder="1" applyAlignment="1">
      <alignment vertical="center"/>
    </xf>
    <xf numFmtId="0" fontId="17" fillId="0" borderId="16" xfId="1" applyFont="1" applyBorder="1"/>
    <xf numFmtId="0" fontId="3" fillId="0" borderId="16" xfId="1" applyFont="1" applyBorder="1"/>
    <xf numFmtId="179" fontId="3" fillId="0" borderId="16" xfId="1" applyNumberFormat="1" applyFont="1" applyBorder="1" applyAlignment="1">
      <alignment horizontal="right"/>
    </xf>
    <xf numFmtId="0" fontId="18" fillId="0" borderId="0" xfId="1" applyFont="1" applyAlignment="1">
      <alignment vertical="center"/>
    </xf>
    <xf numFmtId="0" fontId="14" fillId="0" borderId="0" xfId="1" applyFont="1" applyAlignment="1">
      <alignment vertical="center"/>
    </xf>
    <xf numFmtId="0" fontId="15" fillId="0" borderId="16" xfId="1" applyFont="1" applyBorder="1"/>
    <xf numFmtId="0" fontId="3" fillId="0" borderId="16" xfId="1" applyFont="1" applyBorder="1" applyAlignment="1">
      <alignment horizontal="right"/>
    </xf>
    <xf numFmtId="0" fontId="7" fillId="0" borderId="0" xfId="1" applyFont="1" applyAlignment="1">
      <alignment vertical="center"/>
    </xf>
    <xf numFmtId="37" fontId="3" fillId="0" borderId="19" xfId="1" applyNumberFormat="1" applyFont="1" applyBorder="1" applyAlignment="1">
      <alignment horizontal="right" vertical="center"/>
    </xf>
    <xf numFmtId="0" fontId="4" fillId="3" borderId="0" xfId="1" applyFont="1" applyFill="1" applyAlignment="1">
      <alignment horizontal="left" vertical="center"/>
    </xf>
    <xf numFmtId="0" fontId="5" fillId="3" borderId="0" xfId="1" applyFont="1" applyFill="1" applyAlignment="1">
      <alignment horizontal="left" vertical="center"/>
    </xf>
    <xf numFmtId="171" fontId="4" fillId="3" borderId="0" xfId="1" applyNumberFormat="1" applyFont="1" applyFill="1" applyAlignment="1">
      <alignment horizontal="right" vertical="center"/>
    </xf>
    <xf numFmtId="0" fontId="6" fillId="0" borderId="17" xfId="1" applyFont="1" applyBorder="1" applyAlignment="1">
      <alignment horizontal="left" vertical="center"/>
    </xf>
    <xf numFmtId="0" fontId="7" fillId="0" borderId="17" xfId="1" applyFont="1" applyBorder="1" applyAlignment="1">
      <alignment horizontal="center" vertical="center"/>
    </xf>
    <xf numFmtId="164" fontId="8" fillId="0" borderId="17" xfId="1" applyNumberFormat="1" applyFont="1" applyBorder="1" applyAlignment="1">
      <alignment horizontal="right" vertical="center"/>
    </xf>
    <xf numFmtId="164" fontId="6" fillId="0" borderId="17" xfId="1" applyNumberFormat="1" applyFont="1" applyBorder="1" applyAlignment="1">
      <alignment horizontal="right" vertical="center"/>
    </xf>
    <xf numFmtId="179" fontId="18" fillId="0" borderId="0" xfId="1" applyNumberFormat="1" applyFont="1"/>
    <xf numFmtId="0" fontId="6" fillId="0" borderId="17" xfId="1" applyFont="1" applyBorder="1" applyAlignment="1">
      <alignment horizontal="center" vertical="center"/>
    </xf>
    <xf numFmtId="173" fontId="13" fillId="4" borderId="0" xfId="1" applyNumberFormat="1" applyFont="1" applyFill="1" applyAlignment="1">
      <alignment horizontal="right" vertical="center"/>
    </xf>
    <xf numFmtId="173" fontId="6" fillId="4" borderId="0" xfId="1" applyNumberFormat="1" applyFont="1" applyFill="1" applyAlignment="1">
      <alignment horizontal="right" vertical="center"/>
    </xf>
    <xf numFmtId="37" fontId="13" fillId="4" borderId="0" xfId="1" applyNumberFormat="1" applyFont="1" applyFill="1" applyAlignment="1">
      <alignment horizontal="right" vertical="center"/>
    </xf>
    <xf numFmtId="37" fontId="6" fillId="4" borderId="0" xfId="1" applyNumberFormat="1" applyFont="1" applyFill="1" applyAlignment="1">
      <alignment horizontal="right" vertical="center"/>
    </xf>
    <xf numFmtId="180" fontId="1" fillId="0" borderId="0" xfId="0" applyNumberFormat="1" applyFont="1"/>
    <xf numFmtId="169" fontId="2" fillId="12" borderId="0" xfId="0" applyNumberFormat="1" applyFont="1" applyFill="1"/>
    <xf numFmtId="169" fontId="2" fillId="12" borderId="14" xfId="0" applyNumberFormat="1" applyFont="1" applyFill="1" applyBorder="1"/>
    <xf numFmtId="0" fontId="19" fillId="0" borderId="0" xfId="1" applyFont="1" applyAlignment="1">
      <alignment horizontal="center"/>
    </xf>
    <xf numFmtId="185" fontId="12" fillId="0" borderId="0" xfId="1" applyNumberFormat="1"/>
    <xf numFmtId="165" fontId="12" fillId="0" borderId="0" xfId="1" applyNumberFormat="1"/>
    <xf numFmtId="166" fontId="12" fillId="0" borderId="0" xfId="1" applyNumberFormat="1"/>
    <xf numFmtId="0" fontId="19" fillId="0" borderId="0" xfId="1" applyFont="1"/>
    <xf numFmtId="0" fontId="20" fillId="0" borderId="0" xfId="1" applyFont="1"/>
    <xf numFmtId="0" fontId="12" fillId="0" borderId="0" xfId="1" applyAlignment="1">
      <alignment horizontal="center"/>
    </xf>
    <xf numFmtId="0" fontId="22" fillId="0" borderId="0" xfId="3" applyFont="1"/>
    <xf numFmtId="0" fontId="21" fillId="13" borderId="0" xfId="0" applyFont="1" applyFill="1" applyAlignment="1">
      <alignment horizontal="center" vertical="center" wrapText="1"/>
    </xf>
    <xf numFmtId="0" fontId="21" fillId="13" borderId="28" xfId="0" applyFont="1" applyFill="1" applyBorder="1" applyAlignment="1">
      <alignment horizontal="center" vertical="center" wrapText="1"/>
    </xf>
    <xf numFmtId="0" fontId="23" fillId="5" borderId="27" xfId="3" applyFont="1" applyFill="1" applyBorder="1" applyAlignment="1">
      <alignment horizontal="left" vertical="top" indent="1"/>
    </xf>
    <xf numFmtId="187" fontId="23" fillId="5" borderId="27" xfId="3" applyNumberFormat="1" applyFont="1" applyFill="1" applyBorder="1" applyAlignment="1">
      <alignment horizontal="right" vertical="top" indent="1"/>
    </xf>
    <xf numFmtId="0" fontId="23" fillId="5" borderId="27" xfId="3" applyFont="1" applyFill="1" applyBorder="1" applyAlignment="1">
      <alignment horizontal="right" vertical="top" indent="1"/>
    </xf>
    <xf numFmtId="188" fontId="23" fillId="5" borderId="27" xfId="3" applyNumberFormat="1" applyFont="1" applyFill="1" applyBorder="1" applyAlignment="1">
      <alignment horizontal="right" vertical="top" indent="1"/>
    </xf>
    <xf numFmtId="183" fontId="23" fillId="5" borderId="27" xfId="3" applyNumberFormat="1" applyFont="1" applyFill="1" applyBorder="1" applyAlignment="1">
      <alignment horizontal="right" vertical="top" indent="1"/>
    </xf>
    <xf numFmtId="4" fontId="23" fillId="5" borderId="27" xfId="3" applyNumberFormat="1" applyFont="1" applyFill="1" applyBorder="1" applyAlignment="1">
      <alignment horizontal="right" vertical="top" indent="1"/>
    </xf>
    <xf numFmtId="189" fontId="23" fillId="5" borderId="27" xfId="3" applyNumberFormat="1" applyFont="1" applyFill="1" applyBorder="1" applyAlignment="1">
      <alignment horizontal="right" vertical="top" indent="1"/>
    </xf>
    <xf numFmtId="190" fontId="23" fillId="5" borderId="27" xfId="3" applyNumberFormat="1" applyFont="1" applyFill="1" applyBorder="1" applyAlignment="1">
      <alignment horizontal="left" vertical="top" indent="1"/>
    </xf>
    <xf numFmtId="0" fontId="24" fillId="5" borderId="27" xfId="3" applyFont="1" applyFill="1" applyBorder="1" applyAlignment="1">
      <alignment horizontal="left" vertical="top" indent="1"/>
    </xf>
    <xf numFmtId="0" fontId="25" fillId="0" borderId="0" xfId="1" applyFont="1" applyAlignment="1">
      <alignment horizontal="center"/>
    </xf>
    <xf numFmtId="181" fontId="25" fillId="0" borderId="0" xfId="1" applyNumberFormat="1" applyFont="1" applyAlignment="1">
      <alignment horizontal="center"/>
    </xf>
    <xf numFmtId="9" fontId="25" fillId="0" borderId="0" xfId="1" applyNumberFormat="1" applyFont="1" applyAlignment="1">
      <alignment horizontal="center"/>
    </xf>
    <xf numFmtId="182" fontId="25" fillId="0" borderId="0" xfId="1" applyNumberFormat="1" applyFont="1" applyAlignment="1">
      <alignment horizontal="center"/>
    </xf>
    <xf numFmtId="183" fontId="25" fillId="0" borderId="0" xfId="1" applyNumberFormat="1" applyFont="1" applyAlignment="1">
      <alignment horizontal="center"/>
    </xf>
    <xf numFmtId="184" fontId="25" fillId="0" borderId="0" xfId="1" applyNumberFormat="1" applyFont="1" applyAlignment="1">
      <alignment horizontal="center"/>
    </xf>
    <xf numFmtId="0" fontId="27" fillId="0" borderId="0" xfId="3" applyFont="1" applyAlignment="1">
      <alignment wrapText="1"/>
    </xf>
    <xf numFmtId="0" fontId="28" fillId="0" borderId="0" xfId="1" applyFont="1"/>
    <xf numFmtId="0" fontId="1" fillId="2" borderId="8" xfId="0" applyFont="1" applyFill="1" applyBorder="1" applyAlignment="1">
      <alignment horizontal="center"/>
    </xf>
    <xf numFmtId="0" fontId="1" fillId="2" borderId="9" xfId="0" applyFont="1" applyFill="1" applyBorder="1" applyAlignment="1">
      <alignment horizontal="center"/>
    </xf>
    <xf numFmtId="14" fontId="1" fillId="2" borderId="9" xfId="0" applyNumberFormat="1" applyFont="1" applyFill="1" applyBorder="1" applyAlignment="1">
      <alignment horizontal="right"/>
    </xf>
    <xf numFmtId="14" fontId="1" fillId="2" borderId="18" xfId="0" applyNumberFormat="1" applyFont="1" applyFill="1" applyBorder="1" applyAlignment="1">
      <alignment horizontal="right"/>
    </xf>
    <xf numFmtId="0" fontId="1" fillId="5" borderId="3" xfId="0" applyFont="1" applyFill="1" applyBorder="1"/>
    <xf numFmtId="0" fontId="0" fillId="5" borderId="4" xfId="0" applyFill="1" applyBorder="1"/>
    <xf numFmtId="169" fontId="1" fillId="5" borderId="4" xfId="0" applyNumberFormat="1" applyFont="1" applyFill="1" applyBorder="1"/>
    <xf numFmtId="169" fontId="1" fillId="5" borderId="13" xfId="0" applyNumberFormat="1" applyFont="1" applyFill="1" applyBorder="1"/>
    <xf numFmtId="0" fontId="2" fillId="5" borderId="5" xfId="0" applyFont="1" applyFill="1" applyBorder="1" applyAlignment="1">
      <alignment horizontal="right"/>
    </xf>
    <xf numFmtId="0" fontId="0" fillId="5" borderId="0" xfId="0" applyFill="1"/>
    <xf numFmtId="0" fontId="1" fillId="5" borderId="6" xfId="0" applyFont="1" applyFill="1" applyBorder="1"/>
    <xf numFmtId="0" fontId="0" fillId="5" borderId="7" xfId="0" applyFill="1" applyBorder="1"/>
    <xf numFmtId="169" fontId="1" fillId="5" borderId="7" xfId="0" applyNumberFormat="1" applyFont="1" applyFill="1" applyBorder="1"/>
    <xf numFmtId="169" fontId="1" fillId="5" borderId="15" xfId="0" applyNumberFormat="1" applyFont="1" applyFill="1" applyBorder="1"/>
    <xf numFmtId="168" fontId="1" fillId="5" borderId="4" xfId="0" applyNumberFormat="1" applyFont="1" applyFill="1" applyBorder="1"/>
    <xf numFmtId="168" fontId="1" fillId="5" borderId="13" xfId="0" applyNumberFormat="1" applyFont="1" applyFill="1" applyBorder="1"/>
    <xf numFmtId="168" fontId="1" fillId="5" borderId="7" xfId="0" applyNumberFormat="1" applyFont="1" applyFill="1" applyBorder="1"/>
    <xf numFmtId="168" fontId="1" fillId="5" borderId="15" xfId="0" applyNumberFormat="1" applyFont="1" applyFill="1" applyBorder="1"/>
    <xf numFmtId="14" fontId="0" fillId="12" borderId="10" xfId="0" applyNumberFormat="1" applyFill="1" applyBorder="1"/>
    <xf numFmtId="14" fontId="0" fillId="12" borderId="11" xfId="0" applyNumberFormat="1" applyFill="1" applyBorder="1"/>
    <xf numFmtId="14" fontId="0" fillId="12" borderId="12" xfId="0" applyNumberFormat="1" applyFill="1" applyBorder="1"/>
    <xf numFmtId="168" fontId="0" fillId="5" borderId="29" xfId="0" applyNumberFormat="1" applyFill="1" applyBorder="1"/>
    <xf numFmtId="14" fontId="1" fillId="2" borderId="8" xfId="0" applyNumberFormat="1" applyFont="1" applyFill="1" applyBorder="1"/>
    <xf numFmtId="14" fontId="1" fillId="2" borderId="9" xfId="0" applyNumberFormat="1" applyFont="1" applyFill="1" applyBorder="1"/>
    <xf numFmtId="14" fontId="1" fillId="2" borderId="18" xfId="0" applyNumberFormat="1" applyFont="1" applyFill="1" applyBorder="1"/>
    <xf numFmtId="168" fontId="0" fillId="5" borderId="30" xfId="0" applyNumberFormat="1" applyFill="1" applyBorder="1"/>
    <xf numFmtId="168" fontId="0" fillId="5" borderId="31" xfId="0" applyNumberFormat="1" applyFill="1" applyBorder="1"/>
    <xf numFmtId="168" fontId="1" fillId="0" borderId="4" xfId="0" applyNumberFormat="1" applyFont="1" applyBorder="1"/>
    <xf numFmtId="183" fontId="0" fillId="5" borderId="30" xfId="0" applyNumberFormat="1" applyFill="1" applyBorder="1"/>
    <xf numFmtId="183" fontId="1" fillId="0" borderId="4" xfId="0" applyNumberFormat="1" applyFont="1" applyBorder="1"/>
    <xf numFmtId="169" fontId="0" fillId="0" borderId="0" xfId="0" applyNumberFormat="1"/>
    <xf numFmtId="0" fontId="7" fillId="4" borderId="0" xfId="1" applyFont="1" applyFill="1" applyAlignment="1">
      <alignment horizontal="right" vertical="center"/>
    </xf>
    <xf numFmtId="174" fontId="6" fillId="4" borderId="0" xfId="1" applyNumberFormat="1" applyFont="1" applyFill="1" applyAlignment="1">
      <alignment horizontal="right" vertical="center"/>
    </xf>
    <xf numFmtId="176" fontId="6" fillId="4" borderId="0" xfId="1" applyNumberFormat="1" applyFont="1" applyFill="1" applyAlignment="1">
      <alignment horizontal="right" vertical="center"/>
    </xf>
    <xf numFmtId="175" fontId="6" fillId="4" borderId="0" xfId="1" applyNumberFormat="1" applyFont="1" applyFill="1" applyAlignment="1">
      <alignment horizontal="right" vertical="center"/>
    </xf>
    <xf numFmtId="177" fontId="6" fillId="4" borderId="0" xfId="1" applyNumberFormat="1" applyFont="1" applyFill="1" applyAlignment="1">
      <alignment horizontal="right" vertical="center"/>
    </xf>
    <xf numFmtId="174" fontId="6" fillId="14" borderId="0" xfId="1" applyNumberFormat="1" applyFont="1" applyFill="1" applyAlignment="1">
      <alignment horizontal="right" vertical="center"/>
    </xf>
    <xf numFmtId="173" fontId="6" fillId="14" borderId="0" xfId="1" applyNumberFormat="1" applyFont="1" applyFill="1" applyAlignment="1">
      <alignment horizontal="right" vertical="center"/>
    </xf>
    <xf numFmtId="0" fontId="1" fillId="2" borderId="18" xfId="0" applyFont="1" applyFill="1" applyBorder="1" applyAlignment="1">
      <alignment horizontal="center"/>
    </xf>
    <xf numFmtId="0" fontId="29" fillId="0" borderId="0" xfId="0" applyFont="1"/>
    <xf numFmtId="191" fontId="0" fillId="0" borderId="0" xfId="0" applyNumberFormat="1"/>
    <xf numFmtId="192" fontId="0" fillId="0" borderId="0" xfId="0" applyNumberFormat="1"/>
    <xf numFmtId="170" fontId="0" fillId="0" borderId="0" xfId="0" applyNumberFormat="1"/>
    <xf numFmtId="180" fontId="0" fillId="0" borderId="0" xfId="0" applyNumberFormat="1"/>
    <xf numFmtId="9" fontId="0" fillId="0" borderId="0" xfId="0" applyNumberFormat="1"/>
    <xf numFmtId="193" fontId="0" fillId="0" borderId="0" xfId="0" applyNumberFormat="1"/>
    <xf numFmtId="0" fontId="1" fillId="0" borderId="0" xfId="0" applyFont="1" applyAlignment="1">
      <alignment horizontal="right"/>
    </xf>
    <xf numFmtId="186" fontId="0" fillId="0" borderId="0" xfId="0" applyNumberFormat="1"/>
    <xf numFmtId="1" fontId="0" fillId="0" borderId="0" xfId="0" applyNumberFormat="1"/>
    <xf numFmtId="168" fontId="1" fillId="0" borderId="1" xfId="0" applyNumberFormat="1" applyFont="1" applyBorder="1"/>
    <xf numFmtId="168" fontId="0" fillId="0" borderId="1" xfId="0" applyNumberFormat="1" applyBorder="1"/>
    <xf numFmtId="0" fontId="0" fillId="0" borderId="1" xfId="0" applyBorder="1"/>
    <xf numFmtId="169" fontId="0" fillId="0" borderId="1" xfId="0" applyNumberFormat="1" applyBorder="1"/>
    <xf numFmtId="192" fontId="1" fillId="0" borderId="1" xfId="0" applyNumberFormat="1" applyFont="1" applyBorder="1"/>
    <xf numFmtId="168" fontId="1" fillId="0" borderId="2" xfId="0" applyNumberFormat="1" applyFont="1" applyBorder="1"/>
    <xf numFmtId="180" fontId="0" fillId="12" borderId="1" xfId="0" applyNumberFormat="1" applyFill="1" applyBorder="1" applyAlignment="1">
      <alignment horizontal="right"/>
    </xf>
    <xf numFmtId="180" fontId="0" fillId="12" borderId="1" xfId="0" applyNumberFormat="1" applyFill="1" applyBorder="1"/>
    <xf numFmtId="192" fontId="0" fillId="12" borderId="1" xfId="0" applyNumberFormat="1" applyFill="1" applyBorder="1" applyAlignment="1">
      <alignment horizontal="right"/>
    </xf>
    <xf numFmtId="168" fontId="0" fillId="12" borderId="1" xfId="0" applyNumberFormat="1" applyFill="1" applyBorder="1" applyAlignment="1">
      <alignment horizontal="right"/>
    </xf>
    <xf numFmtId="168" fontId="0" fillId="12" borderId="1" xfId="0" applyNumberFormat="1" applyFill="1" applyBorder="1"/>
    <xf numFmtId="172" fontId="0" fillId="12" borderId="1" xfId="0" applyNumberFormat="1" applyFill="1" applyBorder="1"/>
    <xf numFmtId="169" fontId="0" fillId="12" borderId="1" xfId="0" applyNumberFormat="1" applyFill="1" applyBorder="1" applyAlignment="1">
      <alignment horizontal="right"/>
    </xf>
    <xf numFmtId="0" fontId="0" fillId="12" borderId="1" xfId="0" applyFill="1" applyBorder="1"/>
    <xf numFmtId="194" fontId="0" fillId="12" borderId="1" xfId="0" applyNumberFormat="1" applyFill="1" applyBorder="1"/>
    <xf numFmtId="168" fontId="1" fillId="0" borderId="9" xfId="0" applyNumberFormat="1" applyFont="1" applyBorder="1"/>
    <xf numFmtId="0" fontId="2" fillId="0" borderId="0" xfId="0" applyFont="1" applyAlignment="1">
      <alignment horizontal="left"/>
    </xf>
    <xf numFmtId="0" fontId="0" fillId="12" borderId="1" xfId="0" applyFill="1" applyBorder="1" applyAlignment="1">
      <alignment horizontal="right"/>
    </xf>
    <xf numFmtId="195" fontId="0" fillId="0" borderId="0" xfId="0" applyNumberFormat="1"/>
    <xf numFmtId="39" fontId="6" fillId="4" borderId="0" xfId="1" applyNumberFormat="1" applyFont="1" applyFill="1" applyAlignment="1">
      <alignment horizontal="right" vertical="center"/>
    </xf>
    <xf numFmtId="181" fontId="12" fillId="0" borderId="0" xfId="1" applyNumberFormat="1" applyAlignment="1">
      <alignment horizontal="center"/>
    </xf>
    <xf numFmtId="0" fontId="0" fillId="15" borderId="0" xfId="0" applyFill="1"/>
    <xf numFmtId="191" fontId="0" fillId="15" borderId="0" xfId="0" applyNumberFormat="1" applyFill="1"/>
    <xf numFmtId="0" fontId="30" fillId="0" borderId="0" xfId="1" applyFont="1" applyAlignment="1">
      <alignment horizontal="left" vertical="center"/>
    </xf>
    <xf numFmtId="9" fontId="14" fillId="0" borderId="0" xfId="5" applyFont="1" applyAlignment="1">
      <alignment horizontal="right" vertical="center"/>
    </xf>
    <xf numFmtId="196" fontId="19" fillId="0" borderId="0" xfId="4" applyNumberFormat="1" applyFont="1"/>
    <xf numFmtId="167" fontId="12" fillId="0" borderId="0" xfId="1" applyNumberFormat="1"/>
    <xf numFmtId="197" fontId="25" fillId="0" borderId="0" xfId="1" applyNumberFormat="1" applyFont="1" applyAlignment="1">
      <alignment horizontal="center"/>
    </xf>
    <xf numFmtId="189" fontId="25" fillId="0" borderId="0" xfId="1" applyNumberFormat="1" applyFont="1" applyAlignment="1">
      <alignment horizontal="center"/>
    </xf>
    <xf numFmtId="167" fontId="25" fillId="0" borderId="0" xfId="1" applyNumberFormat="1" applyFont="1" applyAlignment="1">
      <alignment horizontal="center"/>
    </xf>
    <xf numFmtId="0" fontId="25" fillId="0" borderId="0" xfId="1" applyFont="1" applyAlignment="1">
      <alignment horizontal="left" indent="1"/>
    </xf>
    <xf numFmtId="0" fontId="26" fillId="0" borderId="0" xfId="1" applyFont="1" applyAlignment="1">
      <alignment horizontal="left"/>
    </xf>
    <xf numFmtId="9" fontId="32" fillId="0" borderId="34" xfId="1" applyNumberFormat="1" applyFont="1" applyBorder="1"/>
    <xf numFmtId="9" fontId="32" fillId="0" borderId="35" xfId="1" applyNumberFormat="1" applyFont="1" applyBorder="1"/>
    <xf numFmtId="197" fontId="32" fillId="0" borderId="35" xfId="4" applyNumberFormat="1" applyFont="1" applyBorder="1"/>
    <xf numFmtId="197" fontId="32" fillId="0" borderId="37" xfId="4" applyNumberFormat="1" applyFont="1" applyBorder="1"/>
    <xf numFmtId="0" fontId="25" fillId="0" borderId="33" xfId="1" applyFont="1" applyBorder="1" applyAlignment="1">
      <alignment horizontal="left" indent="1"/>
    </xf>
    <xf numFmtId="0" fontId="25" fillId="0" borderId="32" xfId="1" applyFont="1" applyBorder="1" applyAlignment="1">
      <alignment horizontal="left" indent="1"/>
    </xf>
    <xf numFmtId="0" fontId="25" fillId="0" borderId="36" xfId="1" applyFont="1" applyBorder="1" applyAlignment="1">
      <alignment horizontal="left" indent="1"/>
    </xf>
    <xf numFmtId="198" fontId="25" fillId="0" borderId="0" xfId="1" applyNumberFormat="1" applyFont="1" applyAlignment="1">
      <alignment horizontal="center"/>
    </xf>
    <xf numFmtId="179" fontId="25" fillId="0" borderId="0" xfId="1" applyNumberFormat="1" applyFont="1" applyAlignment="1">
      <alignment horizontal="center"/>
    </xf>
    <xf numFmtId="0" fontId="19" fillId="16" borderId="0" xfId="1" applyFont="1" applyFill="1" applyAlignment="1">
      <alignment horizontal="center"/>
    </xf>
    <xf numFmtId="168" fontId="0" fillId="5" borderId="2" xfId="0" applyNumberFormat="1" applyFill="1" applyBorder="1" applyAlignment="1">
      <alignment horizontal="center"/>
    </xf>
    <xf numFmtId="0" fontId="33" fillId="0" borderId="0" xfId="0" applyFont="1"/>
    <xf numFmtId="0" fontId="35" fillId="17" borderId="0" xfId="0" applyFont="1" applyFill="1"/>
    <xf numFmtId="0" fontId="34" fillId="0" borderId="0" xfId="0" applyFont="1"/>
    <xf numFmtId="199" fontId="33" fillId="18" borderId="0" xfId="0" applyNumberFormat="1" applyFont="1" applyFill="1"/>
    <xf numFmtId="199" fontId="36" fillId="19" borderId="0" xfId="0" applyNumberFormat="1" applyFont="1" applyFill="1"/>
    <xf numFmtId="0" fontId="37" fillId="0" borderId="0" xfId="0" applyFont="1"/>
    <xf numFmtId="178" fontId="33" fillId="18" borderId="0" xfId="0" applyNumberFormat="1" applyFont="1" applyFill="1"/>
    <xf numFmtId="178" fontId="36" fillId="19" borderId="0" xfId="0" applyNumberFormat="1" applyFont="1" applyFill="1"/>
    <xf numFmtId="0" fontId="35" fillId="20" borderId="0" xfId="0" applyFont="1" applyFill="1"/>
    <xf numFmtId="0" fontId="34" fillId="21" borderId="0" xfId="0" applyFont="1" applyFill="1"/>
    <xf numFmtId="0" fontId="35" fillId="19" borderId="0" xfId="0" applyFont="1" applyFill="1"/>
    <xf numFmtId="174" fontId="33" fillId="18" borderId="0" xfId="0" applyNumberFormat="1" applyFont="1" applyFill="1"/>
    <xf numFmtId="174" fontId="36" fillId="19" borderId="0" xfId="0" applyNumberFormat="1" applyFont="1" applyFill="1"/>
    <xf numFmtId="0" fontId="33" fillId="22" borderId="0" xfId="0" applyFont="1" applyFill="1"/>
    <xf numFmtId="174" fontId="33" fillId="22" borderId="0" xfId="0" applyNumberFormat="1" applyFont="1" applyFill="1"/>
    <xf numFmtId="200" fontId="33" fillId="22" borderId="0" xfId="0" applyNumberFormat="1" applyFont="1" applyFill="1"/>
    <xf numFmtId="199" fontId="33" fillId="22" borderId="0" xfId="0" applyNumberFormat="1" applyFont="1" applyFill="1"/>
    <xf numFmtId="176" fontId="33" fillId="22" borderId="0" xfId="0" applyNumberFormat="1" applyFont="1" applyFill="1"/>
    <xf numFmtId="201" fontId="33" fillId="22" borderId="0" xfId="0" applyNumberFormat="1" applyFont="1" applyFill="1"/>
    <xf numFmtId="177" fontId="33" fillId="22" borderId="0" xfId="0" applyNumberFormat="1" applyFont="1" applyFill="1"/>
    <xf numFmtId="0" fontId="31" fillId="13" borderId="0" xfId="0" applyFont="1" applyFill="1" applyAlignment="1">
      <alignment horizontal="center" vertical="center" wrapText="1"/>
    </xf>
  </cellXfs>
  <cellStyles count="6">
    <cellStyle name="Currency" xfId="4" builtinId="4"/>
    <cellStyle name="Normal" xfId="0" builtinId="0"/>
    <cellStyle name="Normal 2" xfId="1" xr:uid="{A1738ED8-A932-427B-A47A-664BD3390429}"/>
    <cellStyle name="Normal 6 3" xfId="3" xr:uid="{911FF21F-60B9-4156-B43F-1C17FB5BD4FF}"/>
    <cellStyle name="Per cent" xfId="5" builtinId="5"/>
    <cellStyle name="Percent 2" xfId="2" xr:uid="{75543D25-990D-4F49-8B3D-7BDDF33EACFA}"/>
  </cellStyles>
  <dxfs count="47">
    <dxf>
      <font>
        <color theme="9" tint="-0.24994659260841701"/>
      </font>
      <fill>
        <patternFill>
          <bgColor theme="9" tint="0.79998168889431442"/>
        </patternFill>
      </fill>
    </dxf>
    <dxf>
      <font>
        <b val="0"/>
        <i val="0"/>
        <strike val="0"/>
        <condense val="0"/>
        <extend val="0"/>
        <outline val="0"/>
        <shadow val="0"/>
        <u val="none"/>
        <vertAlign val="baseline"/>
        <sz val="8"/>
        <color rgb="FF0000FF"/>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rgb="FF0000FF"/>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90" formatCode="#,###"/>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90" formatCode="#,###"/>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9" formatCode="#,##0.00\x;[Red]\-#,##0.00\x"/>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9" formatCode="#,##0.00\x;[Red]\-#,##0.00\x"/>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4" formatCode="#,##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4" formatCode="#,##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7" formatCode="#,##0.00;[Red]\(#,##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7" formatCode="#,##0.00;[Red]\(#,##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7" formatCode="#,##0.00;[Red]\(#,##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7" formatCode="#,##0.00;[Red]\(#,##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3" formatCode="_(* #,##0_);_(* \(#,##0\);_(* &quot;   -&quot;?_);_(@_)"/>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3" formatCode="_(* #,##0_);_(* \(#,##0\);_(* &quot;   -&quot;?_);_(@_)"/>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8" formatCode="dd\-mmm\-yyyy"/>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8" formatCode="dd\-mmm\-yyyy"/>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7" formatCode="#,##0.00;[Red]\(#,##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numFmt numFmtId="187" formatCode="#,##0.00;[Red]\(#,##0.00\)"/>
      <fill>
        <patternFill patternType="solid">
          <fgColor indexed="64"/>
          <bgColor theme="0"/>
        </patternFill>
      </fill>
      <alignment horizontal="righ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font>
        <b val="0"/>
        <i val="0"/>
        <strike val="0"/>
        <condense val="0"/>
        <extend val="0"/>
        <outline val="0"/>
        <shadow val="0"/>
        <u val="none"/>
        <vertAlign val="baseline"/>
        <sz val="8"/>
        <color auto="1"/>
        <name val="Calibri Light"/>
        <family val="2"/>
        <scheme val="major"/>
      </font>
      <fill>
        <patternFill patternType="solid">
          <fgColor indexed="64"/>
          <bgColor theme="0"/>
        </patternFill>
      </fill>
      <alignment horizontal="left" vertical="top" textRotation="0" wrapText="0" indent="1" justifyLastLine="0" shrinkToFit="0" readingOrder="0"/>
      <border diagonalUp="0" diagonalDown="0" outline="0">
        <left/>
        <right style="dotted">
          <color rgb="FF969696"/>
        </right>
        <top/>
        <bottom/>
      </border>
    </dxf>
    <dxf>
      <border outline="0">
        <top style="thin">
          <color indexed="8"/>
        </top>
      </border>
    </dxf>
    <dxf>
      <fill>
        <patternFill patternType="solid">
          <fgColor indexed="64"/>
          <bgColor theme="0"/>
        </patternFill>
      </fill>
    </dxf>
    <dxf>
      <font>
        <b/>
        <i val="0"/>
        <strike val="0"/>
        <condense val="0"/>
        <extend val="0"/>
        <outline val="0"/>
        <shadow val="0"/>
        <u val="none"/>
        <vertAlign val="baseline"/>
        <sz val="8"/>
        <color indexed="9"/>
        <name val="Calibri Light"/>
        <family val="2"/>
        <scheme val="major"/>
      </font>
      <fill>
        <patternFill patternType="solid">
          <fgColor indexed="64"/>
          <bgColor rgb="FF4F81BD"/>
        </patternFill>
      </fill>
      <alignment horizontal="center" vertical="center" textRotation="0" wrapText="1" indent="0" justifyLastLine="0" shrinkToFit="0" readingOrder="0"/>
    </dxf>
    <dxf>
      <font>
        <b val="0"/>
        <i val="0"/>
        <strike val="0"/>
        <condense val="0"/>
        <extend val="0"/>
        <outline val="0"/>
        <shadow val="0"/>
        <u val="none"/>
        <vertAlign val="baseline"/>
        <sz val="8"/>
        <color rgb="FF000000"/>
        <name val="Calibri Light"/>
        <family val="2"/>
        <scheme val="major"/>
      </font>
      <numFmt numFmtId="13" formatCode="0%"/>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84" formatCode="_(* &quot;$&quot;\ #,##0_);_(* &quot;$&quot;\ \(#,##0\);_(* &quot;&quot;&quot;$&quot;\ \ \-&quot;&quot;?_);_(@_)"/>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83" formatCode="_(* #,##0_);_(* \(#,##0\);_(* &quot;   -&quot;?_);_(@_)"/>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3" formatCode="0%"/>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3" formatCode="0%"/>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82" formatCode="_(* &quot;$&quot;\ #,##0.00_);_(* &quot;$&quot;\ \(#,##0.00\);_(* &quot;&quot;&quot;$&quot;\ \ \-&quot;&quot;?_);_(@_)"/>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3" formatCode="0%"/>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numFmt numFmtId="181" formatCode="_(* #,##0.0\x;_(* \(#,##0.0\)\x;_(* &quot;   -&quot;?_)"/>
      <alignment horizontal="center" vertical="bottom" textRotation="0" wrapText="0" indent="0" justifyLastLine="0" shrinkToFit="0" readingOrder="0"/>
    </dxf>
    <dxf>
      <font>
        <strike val="0"/>
        <outline val="0"/>
        <shadow val="0"/>
        <u val="none"/>
        <vertAlign val="baseline"/>
        <sz val="8"/>
        <name val="Calibri Light"/>
        <family val="2"/>
        <scheme val="major"/>
      </font>
      <alignment horizontal="center" vertical="bottom" textRotation="0" wrapText="0" indent="0" justifyLastLine="0" shrinkToFit="0" readingOrder="0"/>
    </dxf>
    <dxf>
      <font>
        <strike val="0"/>
        <outline val="0"/>
        <shadow val="0"/>
        <u val="none"/>
        <vertAlign val="baseline"/>
        <sz val="8"/>
        <name val="Calibri Light"/>
        <family val="2"/>
        <scheme val="major"/>
      </font>
      <alignment horizontal="center" vertical="bottom" textRotation="0" wrapText="0" indent="0" justifyLastLine="0" shrinkToFit="0" readingOrder="0"/>
    </dxf>
    <dxf>
      <font>
        <strike val="0"/>
        <outline val="0"/>
        <shadow val="0"/>
        <u val="none"/>
        <vertAlign val="baseline"/>
        <sz val="8"/>
        <name val="Calibri Light"/>
        <family val="2"/>
        <scheme val="major"/>
      </font>
      <alignment horizontal="center" vertical="bottom" textRotation="0" wrapText="0" indent="0" justifyLastLine="0" shrinkToFit="0" readingOrder="0"/>
    </dxf>
    <dxf>
      <font>
        <b val="0"/>
        <i val="0"/>
        <strike val="0"/>
        <condense val="0"/>
        <extend val="0"/>
        <outline val="0"/>
        <shadow val="0"/>
        <u val="none"/>
        <vertAlign val="baseline"/>
        <sz val="8"/>
        <color rgb="FF000000"/>
        <name val="Calibri Light"/>
        <family val="2"/>
        <scheme val="major"/>
      </font>
      <alignment horizontal="center" vertical="bottom" textRotation="0" wrapText="0" indent="0" justifyLastLine="0" shrinkToFit="0" readingOrder="0"/>
    </dxf>
    <dxf>
      <font>
        <b/>
        <i val="0"/>
        <strike val="0"/>
        <condense val="0"/>
        <extend val="0"/>
        <outline val="0"/>
        <shadow val="0"/>
        <u val="none"/>
        <vertAlign val="baseline"/>
        <sz val="8"/>
        <color indexed="9"/>
        <name val="Calibri Light"/>
        <family val="2"/>
        <scheme val="major"/>
      </font>
      <numFmt numFmtId="0" formatCode="General"/>
      <fill>
        <patternFill patternType="solid">
          <fgColor indexed="64"/>
          <bgColor rgb="FF4F81BD"/>
        </patternFill>
      </fill>
      <alignment horizontal="center" vertical="center"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Comps!$C$430</c:f>
              <c:strCache>
                <c:ptCount val="1"/>
                <c:pt idx="0">
                  <c:v>Minimum</c:v>
                </c:pt>
              </c:strCache>
            </c:strRef>
          </c:tx>
          <c:spPr>
            <a:noFill/>
            <a:ln>
              <a:noFill/>
            </a:ln>
            <a:effectLst/>
          </c:spPr>
          <c:invertIfNegative val="0"/>
          <c:cat>
            <c:strRef>
              <c:f>Comps!$B$431:$B$433</c:f>
              <c:strCache>
                <c:ptCount val="3"/>
                <c:pt idx="0">
                  <c:v>Transaction - Forward Year 1 EV/Revenue</c:v>
                </c:pt>
                <c:pt idx="1">
                  <c:v>Transaction - LTM EV / Revenue</c:v>
                </c:pt>
                <c:pt idx="2">
                  <c:v>Public - LTM EV / Revenue</c:v>
                </c:pt>
              </c:strCache>
            </c:strRef>
          </c:cat>
          <c:val>
            <c:numRef>
              <c:f>Comps!$C$431:$C$433</c:f>
              <c:numCache>
                <c:formatCode>0.0\x</c:formatCode>
                <c:ptCount val="3"/>
                <c:pt idx="0">
                  <c:v>3.2096069868995634</c:v>
                </c:pt>
                <c:pt idx="1">
                  <c:v>3.2096069868995634</c:v>
                </c:pt>
                <c:pt idx="2">
                  <c:v>2.39</c:v>
                </c:pt>
              </c:numCache>
            </c:numRef>
          </c:val>
          <c:extLst>
            <c:ext xmlns:c16="http://schemas.microsoft.com/office/drawing/2014/chart" uri="{C3380CC4-5D6E-409C-BE32-E72D297353CC}">
              <c16:uniqueId val="{00000000-B217-5745-8E95-3E529CCF68E4}"/>
            </c:ext>
          </c:extLst>
        </c:ser>
        <c:ser>
          <c:idx val="1"/>
          <c:order val="1"/>
          <c:tx>
            <c:strRef>
              <c:f>Comps!$D$430</c:f>
              <c:strCache>
                <c:ptCount val="1"/>
                <c:pt idx="0">
                  <c:v>Min to 25th</c:v>
                </c:pt>
              </c:strCache>
            </c:strRef>
          </c:tx>
          <c:spPr>
            <a:solidFill>
              <a:schemeClr val="accent1">
                <a:lumMod val="20000"/>
                <a:lumOff val="80000"/>
              </a:schemeClr>
            </a:solidFill>
            <a:ln>
              <a:noFill/>
            </a:ln>
            <a:effectLst/>
          </c:spPr>
          <c:invertIfNegative val="0"/>
          <c:cat>
            <c:strRef>
              <c:f>Comps!$B$431:$B$433</c:f>
              <c:strCache>
                <c:ptCount val="3"/>
                <c:pt idx="0">
                  <c:v>Transaction - Forward Year 1 EV/Revenue</c:v>
                </c:pt>
                <c:pt idx="1">
                  <c:v>Transaction - LTM EV / Revenue</c:v>
                </c:pt>
                <c:pt idx="2">
                  <c:v>Public - LTM EV / Revenue</c:v>
                </c:pt>
              </c:strCache>
            </c:strRef>
          </c:cat>
          <c:val>
            <c:numRef>
              <c:f>Comps!$D$431:$D$433</c:f>
              <c:numCache>
                <c:formatCode>0.0\x</c:formatCode>
                <c:ptCount val="3"/>
                <c:pt idx="0">
                  <c:v>2.081015591245619</c:v>
                </c:pt>
                <c:pt idx="1">
                  <c:v>2.081015591245619</c:v>
                </c:pt>
                <c:pt idx="2">
                  <c:v>1.7950000000000004</c:v>
                </c:pt>
              </c:numCache>
            </c:numRef>
          </c:val>
          <c:extLst>
            <c:ext xmlns:c16="http://schemas.microsoft.com/office/drawing/2014/chart" uri="{C3380CC4-5D6E-409C-BE32-E72D297353CC}">
              <c16:uniqueId val="{00000001-B217-5745-8E95-3E529CCF68E4}"/>
            </c:ext>
          </c:extLst>
        </c:ser>
        <c:ser>
          <c:idx val="2"/>
          <c:order val="2"/>
          <c:tx>
            <c:strRef>
              <c:f>Comps!$E$430</c:f>
              <c:strCache>
                <c:ptCount val="1"/>
                <c:pt idx="0">
                  <c:v>25th to Median</c:v>
                </c:pt>
              </c:strCache>
            </c:strRef>
          </c:tx>
          <c:spPr>
            <a:solidFill>
              <a:schemeClr val="accent1">
                <a:lumMod val="60000"/>
                <a:lumOff val="40000"/>
              </a:schemeClr>
            </a:solidFill>
            <a:ln>
              <a:noFill/>
            </a:ln>
            <a:effectLst/>
          </c:spPr>
          <c:invertIfNegative val="0"/>
          <c:cat>
            <c:strRef>
              <c:f>Comps!$B$431:$B$433</c:f>
              <c:strCache>
                <c:ptCount val="3"/>
                <c:pt idx="0">
                  <c:v>Transaction - Forward Year 1 EV/Revenue</c:v>
                </c:pt>
                <c:pt idx="1">
                  <c:v>Transaction - LTM EV / Revenue</c:v>
                </c:pt>
                <c:pt idx="2">
                  <c:v>Public - LTM EV / Revenue</c:v>
                </c:pt>
              </c:strCache>
            </c:strRef>
          </c:cat>
          <c:val>
            <c:numRef>
              <c:f>Comps!$E$431:$E$433</c:f>
              <c:numCache>
                <c:formatCode>0.0\x</c:formatCode>
                <c:ptCount val="3"/>
                <c:pt idx="0">
                  <c:v>5.0814389046757942</c:v>
                </c:pt>
                <c:pt idx="1">
                  <c:v>5.0814389046757942</c:v>
                </c:pt>
                <c:pt idx="2">
                  <c:v>5.2849999999999984</c:v>
                </c:pt>
              </c:numCache>
            </c:numRef>
          </c:val>
          <c:extLst>
            <c:ext xmlns:c16="http://schemas.microsoft.com/office/drawing/2014/chart" uri="{C3380CC4-5D6E-409C-BE32-E72D297353CC}">
              <c16:uniqueId val="{00000002-B217-5745-8E95-3E529CCF68E4}"/>
            </c:ext>
          </c:extLst>
        </c:ser>
        <c:ser>
          <c:idx val="3"/>
          <c:order val="3"/>
          <c:tx>
            <c:strRef>
              <c:f>Comps!$F$430</c:f>
              <c:strCache>
                <c:ptCount val="1"/>
                <c:pt idx="0">
                  <c:v>Median to 75th</c:v>
                </c:pt>
              </c:strCache>
            </c:strRef>
          </c:tx>
          <c:spPr>
            <a:solidFill>
              <a:schemeClr val="accent1">
                <a:lumMod val="40000"/>
                <a:lumOff val="60000"/>
              </a:schemeClr>
            </a:solidFill>
            <a:ln>
              <a:noFill/>
            </a:ln>
            <a:effectLst/>
          </c:spPr>
          <c:invertIfNegative val="0"/>
          <c:cat>
            <c:strRef>
              <c:f>Comps!$B$431:$B$433</c:f>
              <c:strCache>
                <c:ptCount val="3"/>
                <c:pt idx="0">
                  <c:v>Transaction - Forward Year 1 EV/Revenue</c:v>
                </c:pt>
                <c:pt idx="1">
                  <c:v>Transaction - LTM EV / Revenue</c:v>
                </c:pt>
                <c:pt idx="2">
                  <c:v>Public - LTM EV / Revenue</c:v>
                </c:pt>
              </c:strCache>
            </c:strRef>
          </c:cat>
          <c:val>
            <c:numRef>
              <c:f>Comps!$F$431:$F$433</c:f>
              <c:numCache>
                <c:formatCode>0.0\x</c:formatCode>
                <c:ptCount val="3"/>
                <c:pt idx="0">
                  <c:v>6.2406029908632359</c:v>
                </c:pt>
                <c:pt idx="1">
                  <c:v>6.2406029908632359</c:v>
                </c:pt>
                <c:pt idx="2">
                  <c:v>3.4024999999999999</c:v>
                </c:pt>
              </c:numCache>
            </c:numRef>
          </c:val>
          <c:extLst>
            <c:ext xmlns:c16="http://schemas.microsoft.com/office/drawing/2014/chart" uri="{C3380CC4-5D6E-409C-BE32-E72D297353CC}">
              <c16:uniqueId val="{00000003-B217-5745-8E95-3E529CCF68E4}"/>
            </c:ext>
          </c:extLst>
        </c:ser>
        <c:ser>
          <c:idx val="4"/>
          <c:order val="4"/>
          <c:tx>
            <c:strRef>
              <c:f>Comps!$G$430</c:f>
              <c:strCache>
                <c:ptCount val="1"/>
                <c:pt idx="0">
                  <c:v>75th to Max</c:v>
                </c:pt>
              </c:strCache>
            </c:strRef>
          </c:tx>
          <c:spPr>
            <a:solidFill>
              <a:schemeClr val="accent1">
                <a:lumMod val="20000"/>
                <a:lumOff val="80000"/>
              </a:schemeClr>
            </a:solidFill>
            <a:ln>
              <a:noFill/>
            </a:ln>
            <a:effectLst/>
          </c:spPr>
          <c:invertIfNegative val="0"/>
          <c:cat>
            <c:strRef>
              <c:f>Comps!$B$431:$B$433</c:f>
              <c:strCache>
                <c:ptCount val="3"/>
                <c:pt idx="0">
                  <c:v>Transaction - Forward Year 1 EV/Revenue</c:v>
                </c:pt>
                <c:pt idx="1">
                  <c:v>Transaction - LTM EV / Revenue</c:v>
                </c:pt>
                <c:pt idx="2">
                  <c:v>Public - LTM EV / Revenue</c:v>
                </c:pt>
              </c:strCache>
            </c:strRef>
          </c:cat>
          <c:val>
            <c:numRef>
              <c:f>Comps!$G$431:$G$433</c:f>
              <c:numCache>
                <c:formatCode>0.0\x</c:formatCode>
                <c:ptCount val="3"/>
                <c:pt idx="0">
                  <c:v>17.138314383011171</c:v>
                </c:pt>
                <c:pt idx="1">
                  <c:v>17.138314383011171</c:v>
                </c:pt>
                <c:pt idx="2">
                  <c:v>7.3875000000000028</c:v>
                </c:pt>
              </c:numCache>
            </c:numRef>
          </c:val>
          <c:extLst>
            <c:ext xmlns:c16="http://schemas.microsoft.com/office/drawing/2014/chart" uri="{C3380CC4-5D6E-409C-BE32-E72D297353CC}">
              <c16:uniqueId val="{00000004-B217-5745-8E95-3E529CCF68E4}"/>
            </c:ext>
          </c:extLst>
        </c:ser>
        <c:dLbls>
          <c:showLegendKey val="0"/>
          <c:showVal val="0"/>
          <c:showCatName val="0"/>
          <c:showSerName val="0"/>
          <c:showPercent val="0"/>
          <c:showBubbleSize val="0"/>
        </c:dLbls>
        <c:gapWidth val="150"/>
        <c:overlap val="100"/>
        <c:axId val="818042671"/>
        <c:axId val="800584447"/>
      </c:barChart>
      <c:catAx>
        <c:axId val="81804267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00584447"/>
        <c:crosses val="autoZero"/>
        <c:auto val="1"/>
        <c:lblAlgn val="ctr"/>
        <c:lblOffset val="100"/>
        <c:noMultiLvlLbl val="0"/>
      </c:catAx>
      <c:valAx>
        <c:axId val="800584447"/>
        <c:scaling>
          <c:orientation val="minMax"/>
        </c:scaling>
        <c:delete val="0"/>
        <c:axPos val="b"/>
        <c:majorGridlines>
          <c:spPr>
            <a:ln w="9525" cap="flat" cmpd="sng" algn="ctr">
              <a:solidFill>
                <a:schemeClr val="tx1">
                  <a:lumMod val="15000"/>
                  <a:lumOff val="85000"/>
                </a:schemeClr>
              </a:solidFill>
              <a:round/>
            </a:ln>
            <a:effectLst/>
          </c:spPr>
        </c:majorGridlines>
        <c:numFmt formatCode="#,##0.0\x;[Red]\-#,##0.0\x"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8042671"/>
        <c:crosses val="autoZero"/>
        <c:crossBetween val="between"/>
      </c:valAx>
      <c:spPr>
        <a:noFill/>
        <a:ln>
          <a:noFill/>
        </a:ln>
        <a:effectLst/>
      </c:spPr>
    </c:plotArea>
    <c:legend>
      <c:legendPos val="r"/>
      <c:legendEntry>
        <c:idx val="0"/>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Comps!$I$430</c:f>
              <c:strCache>
                <c:ptCount val="1"/>
                <c:pt idx="0">
                  <c:v>Minimum</c:v>
                </c:pt>
              </c:strCache>
            </c:strRef>
          </c:tx>
          <c:spPr>
            <a:noFill/>
            <a:ln>
              <a:noFill/>
            </a:ln>
            <a:effectLst/>
          </c:spPr>
          <c:invertIfNegative val="0"/>
          <c:cat>
            <c:strRef>
              <c:f>Comps!$H$431:$H$433</c:f>
              <c:strCache>
                <c:ptCount val="3"/>
                <c:pt idx="0">
                  <c:v>Transaction - Forward Year 1 EV/Revenue</c:v>
                </c:pt>
                <c:pt idx="1">
                  <c:v>Transaction - LTM EV / Revenue</c:v>
                </c:pt>
                <c:pt idx="2">
                  <c:v>Public - LTM EV / Revenue</c:v>
                </c:pt>
              </c:strCache>
            </c:strRef>
          </c:cat>
          <c:val>
            <c:numRef>
              <c:f>Comps!$I$431:$I$433</c:f>
              <c:numCache>
                <c:formatCode>"$"#,##0</c:formatCode>
                <c:ptCount val="3"/>
                <c:pt idx="0">
                  <c:v>53036688.471615724</c:v>
                </c:pt>
                <c:pt idx="1">
                  <c:v>21155735.417685587</c:v>
                </c:pt>
                <c:pt idx="2">
                  <c:v>15753395.308099998</c:v>
                </c:pt>
              </c:numCache>
            </c:numRef>
          </c:val>
          <c:extLst>
            <c:ext xmlns:c16="http://schemas.microsoft.com/office/drawing/2014/chart" uri="{C3380CC4-5D6E-409C-BE32-E72D297353CC}">
              <c16:uniqueId val="{00000000-68F9-EE4F-B68E-12EF40ACFD99}"/>
            </c:ext>
          </c:extLst>
        </c:ser>
        <c:ser>
          <c:idx val="1"/>
          <c:order val="1"/>
          <c:tx>
            <c:strRef>
              <c:f>Comps!$J$430</c:f>
              <c:strCache>
                <c:ptCount val="1"/>
                <c:pt idx="0">
                  <c:v>Min to 25th</c:v>
                </c:pt>
              </c:strCache>
            </c:strRef>
          </c:tx>
          <c:spPr>
            <a:solidFill>
              <a:schemeClr val="tx2">
                <a:lumMod val="20000"/>
                <a:lumOff val="80000"/>
              </a:schemeClr>
            </a:solidFill>
            <a:ln>
              <a:noFill/>
            </a:ln>
            <a:effectLst/>
          </c:spPr>
          <c:invertIfNegative val="0"/>
          <c:cat>
            <c:strRef>
              <c:f>Comps!$H$431:$H$433</c:f>
              <c:strCache>
                <c:ptCount val="3"/>
                <c:pt idx="0">
                  <c:v>Transaction - Forward Year 1 EV/Revenue</c:v>
                </c:pt>
                <c:pt idx="1">
                  <c:v>Transaction - LTM EV / Revenue</c:v>
                </c:pt>
                <c:pt idx="2">
                  <c:v>Public - LTM EV / Revenue</c:v>
                </c:pt>
              </c:strCache>
            </c:strRef>
          </c:cat>
          <c:val>
            <c:numRef>
              <c:f>Comps!$J$431:$J$433</c:f>
              <c:numCache>
                <c:formatCode>"$"#,##0</c:formatCode>
                <c:ptCount val="3"/>
                <c:pt idx="0">
                  <c:v>34387442.471293084</c:v>
                </c:pt>
                <c:pt idx="1">
                  <c:v>13716762.02979568</c:v>
                </c:pt>
                <c:pt idx="2">
                  <c:v>11831524.928050002</c:v>
                </c:pt>
              </c:numCache>
            </c:numRef>
          </c:val>
          <c:extLst>
            <c:ext xmlns:c16="http://schemas.microsoft.com/office/drawing/2014/chart" uri="{C3380CC4-5D6E-409C-BE32-E72D297353CC}">
              <c16:uniqueId val="{00000001-68F9-EE4F-B68E-12EF40ACFD99}"/>
            </c:ext>
          </c:extLst>
        </c:ser>
        <c:ser>
          <c:idx val="2"/>
          <c:order val="2"/>
          <c:tx>
            <c:strRef>
              <c:f>Comps!$K$430</c:f>
              <c:strCache>
                <c:ptCount val="1"/>
                <c:pt idx="0">
                  <c:v>25th to Median</c:v>
                </c:pt>
              </c:strCache>
            </c:strRef>
          </c:tx>
          <c:spPr>
            <a:solidFill>
              <a:schemeClr val="accent1">
                <a:lumMod val="60000"/>
                <a:lumOff val="40000"/>
              </a:schemeClr>
            </a:solidFill>
            <a:ln>
              <a:noFill/>
            </a:ln>
            <a:effectLst/>
          </c:spPr>
          <c:invertIfNegative val="0"/>
          <c:cat>
            <c:strRef>
              <c:f>Comps!$H$431:$H$433</c:f>
              <c:strCache>
                <c:ptCount val="3"/>
                <c:pt idx="0">
                  <c:v>Transaction - Forward Year 1 EV/Revenue</c:v>
                </c:pt>
                <c:pt idx="1">
                  <c:v>Transaction - LTM EV / Revenue</c:v>
                </c:pt>
                <c:pt idx="2">
                  <c:v>Public - LTM EV / Revenue</c:v>
                </c:pt>
              </c:strCache>
            </c:strRef>
          </c:cat>
          <c:val>
            <c:numRef>
              <c:f>Comps!$K$431:$K$433</c:f>
              <c:numCache>
                <c:formatCode>"$"#,##0</c:formatCode>
                <c:ptCount val="3"/>
                <c:pt idx="0">
                  <c:v>83967505.453112885</c:v>
                </c:pt>
                <c:pt idx="1">
                  <c:v>33493688.618960865</c:v>
                </c:pt>
                <c:pt idx="2">
                  <c:v>34835436.905149981</c:v>
                </c:pt>
              </c:numCache>
            </c:numRef>
          </c:val>
          <c:extLst>
            <c:ext xmlns:c16="http://schemas.microsoft.com/office/drawing/2014/chart" uri="{C3380CC4-5D6E-409C-BE32-E72D297353CC}">
              <c16:uniqueId val="{00000002-68F9-EE4F-B68E-12EF40ACFD99}"/>
            </c:ext>
          </c:extLst>
        </c:ser>
        <c:ser>
          <c:idx val="3"/>
          <c:order val="3"/>
          <c:tx>
            <c:strRef>
              <c:f>Comps!$L$430</c:f>
              <c:strCache>
                <c:ptCount val="1"/>
                <c:pt idx="0">
                  <c:v>Median to 75th</c:v>
                </c:pt>
              </c:strCache>
            </c:strRef>
          </c:tx>
          <c:spPr>
            <a:solidFill>
              <a:schemeClr val="accent1">
                <a:lumMod val="40000"/>
                <a:lumOff val="60000"/>
              </a:schemeClr>
            </a:solidFill>
            <a:ln>
              <a:noFill/>
            </a:ln>
            <a:effectLst/>
          </c:spPr>
          <c:invertIfNegative val="0"/>
          <c:cat>
            <c:strRef>
              <c:f>Comps!$H$431:$H$433</c:f>
              <c:strCache>
                <c:ptCount val="3"/>
                <c:pt idx="0">
                  <c:v>Transaction - Forward Year 1 EV/Revenue</c:v>
                </c:pt>
                <c:pt idx="1">
                  <c:v>Transaction - LTM EV / Revenue</c:v>
                </c:pt>
                <c:pt idx="2">
                  <c:v>Public - LTM EV / Revenue</c:v>
                </c:pt>
              </c:strCache>
            </c:strRef>
          </c:cat>
          <c:val>
            <c:numRef>
              <c:f>Comps!$L$431:$L$433</c:f>
              <c:numCache>
                <c:formatCode>"$"#,##0</c:formatCode>
                <c:ptCount val="3"/>
                <c:pt idx="0">
                  <c:v>103121945.47568884</c:v>
                </c:pt>
                <c:pt idx="1">
                  <c:v>41134178.190786481</c:v>
                </c:pt>
                <c:pt idx="2">
                  <c:v>22427166.332974993</c:v>
                </c:pt>
              </c:numCache>
            </c:numRef>
          </c:val>
          <c:extLst>
            <c:ext xmlns:c16="http://schemas.microsoft.com/office/drawing/2014/chart" uri="{C3380CC4-5D6E-409C-BE32-E72D297353CC}">
              <c16:uniqueId val="{00000003-68F9-EE4F-B68E-12EF40ACFD99}"/>
            </c:ext>
          </c:extLst>
        </c:ser>
        <c:ser>
          <c:idx val="4"/>
          <c:order val="4"/>
          <c:tx>
            <c:strRef>
              <c:f>Comps!$M$430</c:f>
              <c:strCache>
                <c:ptCount val="1"/>
                <c:pt idx="0">
                  <c:v>75th to Max</c:v>
                </c:pt>
              </c:strCache>
            </c:strRef>
          </c:tx>
          <c:spPr>
            <a:solidFill>
              <a:schemeClr val="accent1">
                <a:lumMod val="20000"/>
                <a:lumOff val="80000"/>
              </a:schemeClr>
            </a:solidFill>
            <a:ln>
              <a:noFill/>
            </a:ln>
            <a:effectLst/>
          </c:spPr>
          <c:invertIfNegative val="0"/>
          <c:cat>
            <c:strRef>
              <c:f>Comps!$H$431:$H$433</c:f>
              <c:strCache>
                <c:ptCount val="3"/>
                <c:pt idx="0">
                  <c:v>Transaction - Forward Year 1 EV/Revenue</c:v>
                </c:pt>
                <c:pt idx="1">
                  <c:v>Transaction - LTM EV / Revenue</c:v>
                </c:pt>
                <c:pt idx="2">
                  <c:v>Public - LTM EV / Revenue</c:v>
                </c:pt>
              </c:strCache>
            </c:strRef>
          </c:cat>
          <c:val>
            <c:numRef>
              <c:f>Comps!$M$431:$M$433</c:f>
              <c:numCache>
                <c:formatCode>"$"#,##0</c:formatCode>
                <c:ptCount val="3"/>
                <c:pt idx="0">
                  <c:v>283199608.10479701</c:v>
                </c:pt>
                <c:pt idx="1">
                  <c:v>112965121.92053175</c:v>
                </c:pt>
                <c:pt idx="2">
                  <c:v>48693810.81112501</c:v>
                </c:pt>
              </c:numCache>
            </c:numRef>
          </c:val>
          <c:extLst>
            <c:ext xmlns:c16="http://schemas.microsoft.com/office/drawing/2014/chart" uri="{C3380CC4-5D6E-409C-BE32-E72D297353CC}">
              <c16:uniqueId val="{00000004-68F9-EE4F-B68E-12EF40ACFD99}"/>
            </c:ext>
          </c:extLst>
        </c:ser>
        <c:dLbls>
          <c:showLegendKey val="0"/>
          <c:showVal val="0"/>
          <c:showCatName val="0"/>
          <c:showSerName val="0"/>
          <c:showPercent val="0"/>
          <c:showBubbleSize val="0"/>
        </c:dLbls>
        <c:gapWidth val="150"/>
        <c:overlap val="100"/>
        <c:axId val="798413311"/>
        <c:axId val="798011999"/>
      </c:barChart>
      <c:catAx>
        <c:axId val="79841331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8011999"/>
        <c:crosses val="autoZero"/>
        <c:auto val="1"/>
        <c:lblAlgn val="ctr"/>
        <c:lblOffset val="100"/>
        <c:noMultiLvlLbl val="0"/>
      </c:catAx>
      <c:valAx>
        <c:axId val="798011999"/>
        <c:scaling>
          <c:orientation val="minMax"/>
        </c:scaling>
        <c:delete val="0"/>
        <c:axPos val="b"/>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8413311"/>
        <c:crosses val="autoZero"/>
        <c:crossBetween val="between"/>
      </c:valAx>
      <c:spPr>
        <a:noFill/>
        <a:ln>
          <a:noFill/>
        </a:ln>
        <a:effectLst/>
      </c:spPr>
    </c:plotArea>
    <c:legend>
      <c:legendPos val="r"/>
      <c:legendEntry>
        <c:idx val="0"/>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476827</xdr:colOff>
      <xdr:row>2</xdr:row>
      <xdr:rowOff>99794</xdr:rowOff>
    </xdr:from>
    <xdr:ext cx="7010399" cy="1844095"/>
    <xdr:sp macro="" textlink="">
      <xdr:nvSpPr>
        <xdr:cNvPr id="3" name="TextBox 2">
          <a:extLst>
            <a:ext uri="{FF2B5EF4-FFF2-40B4-BE49-F238E27FC236}">
              <a16:creationId xmlns:a16="http://schemas.microsoft.com/office/drawing/2014/main" id="{45A86611-4BD6-9F4F-868E-9452689490A2}"/>
            </a:ext>
          </a:extLst>
        </xdr:cNvPr>
        <xdr:cNvSpPr txBox="1"/>
      </xdr:nvSpPr>
      <xdr:spPr>
        <a:xfrm>
          <a:off x="476827" y="484642"/>
          <a:ext cx="7010399" cy="184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a:latin typeface="Book Antiqua" panose="02040602050305030304" pitchFamily="18" charset="0"/>
            </a:rPr>
            <a:t>This model contains an analysis of RabbitWise, a fictional ~$10M ARR enterprise SaaS business, which is seeking $30M in equity funding. The model includes 14 quarters of historical financials (balance sheet and income statement), along with a forecast for the next 14 quarters. Additionally, it incorporates detailed historical revenue data, broken down by customer and month.</a:t>
          </a:r>
        </a:p>
        <a:p>
          <a:r>
            <a:rPr lang="en-GB">
              <a:latin typeface="Book Antiqua" panose="02040602050305030304" pitchFamily="18" charset="0"/>
            </a:rPr>
            <a:t>Key elements modeled include the ARR Build and Logo Build, which track revenue generation from new and existing customers, and customer acquisition and churn rates. The model uses this data to conduct a time-based cohort analysis and calculate essential SaaS metrics such as NDR, LTV/CAC, Gross Sales Efficiency, and the Magic Number.</a:t>
          </a:r>
        </a:p>
        <a:p>
          <a:r>
            <a:rPr lang="en-GB">
              <a:latin typeface="Book Antiqua" panose="02040602050305030304" pitchFamily="18" charset="0"/>
            </a:rPr>
            <a:t>The Peer Universe tab contains comparisons with key metrics from both public and private SaaS peers, supporting the valuation analysis.</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7</xdr:col>
      <xdr:colOff>182880</xdr:colOff>
      <xdr:row>404</xdr:row>
      <xdr:rowOff>8156</xdr:rowOff>
    </xdr:from>
    <xdr:to>
      <xdr:col>12</xdr:col>
      <xdr:colOff>822960</xdr:colOff>
      <xdr:row>411</xdr:row>
      <xdr:rowOff>81280</xdr:rowOff>
    </xdr:to>
    <xdr:graphicFrame macro="">
      <xdr:nvGraphicFramePr>
        <xdr:cNvPr id="7" name="Chart 6">
          <a:extLst>
            <a:ext uri="{FF2B5EF4-FFF2-40B4-BE49-F238E27FC236}">
              <a16:creationId xmlns:a16="http://schemas.microsoft.com/office/drawing/2014/main" id="{54A28FC2-EF74-F069-FE5D-D2FAB2938BD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198120</xdr:colOff>
      <xdr:row>414</xdr:row>
      <xdr:rowOff>168910</xdr:rowOff>
    </xdr:from>
    <xdr:to>
      <xdr:col>14</xdr:col>
      <xdr:colOff>495300</xdr:colOff>
      <xdr:row>422</xdr:row>
      <xdr:rowOff>10160</xdr:rowOff>
    </xdr:to>
    <xdr:graphicFrame macro="">
      <xdr:nvGraphicFramePr>
        <xdr:cNvPr id="8" name="Chart 7">
          <a:extLst>
            <a:ext uri="{FF2B5EF4-FFF2-40B4-BE49-F238E27FC236}">
              <a16:creationId xmlns:a16="http://schemas.microsoft.com/office/drawing/2014/main" id="{7107B5A2-75B6-35DA-451B-7F9A6C7B9EE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D34FDD5-2FAE-4084-92D8-AD694F328EAE}" name="Table3" displayName="Table3" ref="B10:L108" totalsRowShown="0" headerRowDxfId="46" dataDxfId="45">
  <autoFilter ref="B10:L108" xr:uid="{5D34FDD5-2FAE-4084-92D8-AD694F328EAE}">
    <filterColumn colId="4">
      <filters>
        <filter val="101%"/>
        <filter val="105%"/>
        <filter val="108%"/>
        <filter val="109%"/>
        <filter val="115%"/>
        <filter val="117%"/>
        <filter val="119%"/>
      </filters>
    </filterColumn>
    <filterColumn colId="9">
      <filters>
        <filter val="$ 18,054"/>
        <filter val="$ 19,553"/>
        <filter val="$ 22,509"/>
        <filter val="$ 26,561"/>
        <filter val="$ 26,985"/>
        <filter val="$ 33,999"/>
        <filter val="$ 34,400"/>
        <filter val="$ 44,899"/>
        <filter val="$ 45,507"/>
        <filter val="$ 48,664"/>
        <filter val="$ 49,263"/>
        <filter val="$ 55,438"/>
      </filters>
    </filterColumn>
  </autoFilter>
  <tableColumns count="11">
    <tableColumn id="1" xr3:uid="{12625617-9FDD-4620-94E2-08E32654B4D7}" name="Name" dataDxfId="44"/>
    <tableColumn id="2" xr3:uid="{6C83F379-CA80-48C6-A843-5BE006AAB91A}" name="Ticker" dataDxfId="43"/>
    <tableColumn id="3" xr3:uid="{BE6BD642-FC4E-4364-A174-206FB167503B}" name="Year" dataDxfId="42"/>
    <tableColumn id="4" xr3:uid="{C4ADD62E-EC7C-4E9E-99CA-44ADF8D46467}" name="EV/Rev" dataDxfId="41"/>
    <tableColumn id="5" xr3:uid="{802280EF-4E9F-4A6B-9112-D8A69971AC5F}" name="IPO_x000a_Net Retention" dataDxfId="40"/>
    <tableColumn id="6" xr3:uid="{938AFF4E-47C8-4AC4-A598-69B75FABFC07}" name="New Rev/S&amp;M" dataDxfId="39">
      <calculatedColumnFormula>IFERROR(VLOOKUP(B11,#REF!,8,FALSE)," ")</calculatedColumnFormula>
    </tableColumn>
    <tableColumn id="7" xr3:uid="{8825BFA9-F9D6-4CE2-B51F-8BD1474DEF80}" name="YoY Growth" dataDxfId="38"/>
    <tableColumn id="8" xr3:uid="{DAC6A4C0-2766-4FD5-AC5A-A275BB9238A6}" name="Gross Margin" dataDxfId="37"/>
    <tableColumn id="9" xr3:uid="{E87739FC-D492-48BB-94D0-1A00289EE208}" name="Payback Period (years)" dataDxfId="36">
      <calculatedColumnFormula>IFERROR(VLOOKUP(B11,#REF!,8,FALSE)," ")</calculatedColumnFormula>
    </tableColumn>
    <tableColumn id="10" xr3:uid="{32FADEC5-1D09-4AE3-B35D-E00C40644DF7}" name="ACV" dataDxfId="35">
      <calculatedColumnFormula>IFERROR(VLOOKUP(B11,#REF!,6,FALSE)," ")</calculatedColumnFormula>
    </tableColumn>
    <tableColumn id="11" xr3:uid="{F01AFDAC-3E97-43DC-A3BF-7A0FEA20BD77}" name="1Year Prior Net Retention" dataDxfId="34"/>
  </tableColumns>
  <tableStyleInfo name="TableStyleLight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2DCA8A2-65B0-4849-BB62-42632A5A1594}" name="Table4" displayName="Table4" ref="B112:P401" totalsRowCount="1" headerRowDxfId="33" dataDxfId="32" tableBorderDxfId="31" headerRowCellStyle="Normal 6 3">
  <autoFilter ref="B112:P400" xr:uid="{52DCA8A2-65B0-4849-BB62-42632A5A1594}">
    <filterColumn colId="2">
      <filters>
        <filter val="17.31"/>
        <filter val="21.00"/>
        <filter val="21.65"/>
        <filter val="24.79"/>
        <filter val="25.00"/>
        <filter val="30.00"/>
        <filter val="31.89"/>
        <filter val="34.57"/>
        <filter val="50.00"/>
      </filters>
    </filterColumn>
    <filterColumn colId="5">
      <filters>
        <dateGroupItem year="2022" dateTimeGrouping="year"/>
      </filters>
    </filterColumn>
    <filterColumn colId="10">
      <filters>
        <filter val="10.00"/>
        <filter val="11.06"/>
        <filter val="25.54"/>
        <filter val="41.16"/>
        <filter val="458.00"/>
        <filter val="9.12"/>
      </filters>
    </filterColumn>
  </autoFilter>
  <tableColumns count="15">
    <tableColumn id="1" xr3:uid="{3F6328B2-B6B3-45D3-B35D-F06B35530E83}" name="Companies" dataDxfId="30" totalsRowDxfId="29" dataCellStyle="Normal 6 3" totalsRowCellStyle="Normal 6 3"/>
    <tableColumn id="2" xr3:uid="{317051D0-8117-4AAE-BB40-D4F33353B9E2}" name="Company Website" dataDxfId="28" totalsRowDxfId="27" dataCellStyle="Normal 6 3" totalsRowCellStyle="Normal 6 3"/>
    <tableColumn id="3" xr3:uid="{3591BB42-EF8D-4B7C-9A93-DACA6EE13D71}" name="Deal Size" dataDxfId="26" totalsRowDxfId="25" dataCellStyle="Normal 6 3" totalsRowCellStyle="Normal 6 3"/>
    <tableColumn id="4" xr3:uid="{5A586F85-DE5E-409C-AF1E-90A337D26E34}" name="Series" dataDxfId="24" totalsRowDxfId="23" dataCellStyle="Normal 6 3" totalsRowCellStyle="Normal 6 3"/>
    <tableColumn id="5" xr3:uid="{6901B73A-60B1-42E2-8060-DC65CE0D73C4}" name="Description" dataDxfId="22" totalsRowDxfId="21" dataCellStyle="Normal 6 3" totalsRowCellStyle="Normal 6 3"/>
    <tableColumn id="6" xr3:uid="{8D6082CF-34C3-49C9-9C9C-A9BAF5A97980}" name="Deal Date" dataDxfId="20" totalsRowDxfId="19" dataCellStyle="Normal 6 3" totalsRowCellStyle="Normal 6 3"/>
    <tableColumn id="7" xr3:uid="{22FB5F74-34A2-4690-84A1-D8117C61A366}" name="Year" dataDxfId="18" totalsRowDxfId="17" dataCellStyle="Normal 6 3" totalsRowCellStyle="Normal 6 3">
      <calculatedColumnFormula>YEAR(G113)</calculatedColumnFormula>
    </tableColumn>
    <tableColumn id="8" xr3:uid="{FB8B6CE3-67F4-4FE1-8AD4-DFE683CEB66F}" name="Deal Type" dataDxfId="16" totalsRowDxfId="15" dataCellStyle="Normal 6 3" totalsRowCellStyle="Normal 6 3"/>
    <tableColumn id="9" xr3:uid="{6D42D87A-3C61-48D4-8376-2985B77AB25B}" name="Pre-money Valuation" dataDxfId="14" totalsRowDxfId="13" dataCellStyle="Normal 6 3" totalsRowCellStyle="Normal 6 3"/>
    <tableColumn id="10" xr3:uid="{C9FA22B0-A1F4-4B1C-B4C3-F80276F7A8C9}" name="Post Valuation" dataDxfId="12" totalsRowDxfId="11" dataCellStyle="Normal 6 3" totalsRowCellStyle="Normal 6 3"/>
    <tableColumn id="11" xr3:uid="{D74ECCEE-CB40-4B25-BC23-9CF5EA775975}" name="Revenue" dataDxfId="10" totalsRowDxfId="9" dataCellStyle="Normal 6 3" totalsRowCellStyle="Normal 6 3"/>
    <tableColumn id="12" xr3:uid="{8A4F7BEA-2211-40AC-AD40-331309548F91}" name="Valuation/Revenue" dataDxfId="8" totalsRowDxfId="7" dataCellStyle="Normal 6 3" totalsRowCellStyle="Normal 6 3">
      <calculatedColumnFormula>IFERROR(J113/L113," ")</calculatedColumnFormula>
    </tableColumn>
    <tableColumn id="13" xr3:uid="{31B519A6-1905-47AD-86E3-E70903041D2A}" name="Investors" dataDxfId="6" totalsRowDxfId="5" dataCellStyle="Normal 6 3" totalsRowCellStyle="Normal 6 3"/>
    <tableColumn id="14" xr3:uid="{4B011E74-ACE1-4DAC-B6D4-BC2018106BE6}" name="Primary Industry Code" dataDxfId="4" totalsRowDxfId="3" dataCellStyle="Normal 6 3" totalsRowCellStyle="Normal 6 3"/>
    <tableColumn id="15" xr3:uid="{70D7BDE2-E70F-4DDE-84DF-046BE19AA8EB}" name="PitchBook Link" dataDxfId="2" totalsRowDxfId="1" dataCellStyle="Normal 6 3" totalsRowCellStyle="Normal 6 3"/>
  </tableColumns>
  <tableStyleInfo name="TableStyleLight13"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3" Type="http://schemas.microsoft.com/office/2011/relationships/webextension" Target="webextension3.xml"/><Relationship Id="rId2" Type="http://schemas.microsoft.com/office/2011/relationships/webextension" Target="webextension2.xml"/><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0">
    <wetp:webextensionref xmlns:r="http://schemas.openxmlformats.org/officeDocument/2006/relationships" r:id="rId1"/>
  </wetp:taskpane>
  <wetp:taskpane dockstate="right" visibility="0" width="350" row="0">
    <wetp:webextensionref xmlns:r="http://schemas.openxmlformats.org/officeDocument/2006/relationships" r:id="rId2"/>
  </wetp:taskpane>
  <wetp:taskpane dockstate="right" visibility="0" width="350" row="0">
    <wetp:webextensionref xmlns:r="http://schemas.openxmlformats.org/officeDocument/2006/relationships" r:id="rId3"/>
  </wetp:taskpane>
</wetp:taskpanes>
</file>

<file path=xl/webextensions/webextension1.xml><?xml version="1.0" encoding="utf-8"?>
<we:webextension xmlns:we="http://schemas.microsoft.com/office/webextensions/webextension/2010/11" id="{D41AD4F7-E3DC-6746-8C8E-C928941DCEF8}">
  <we:reference id="fcddfa1b-27c7-4fae-a616-268999f1c404" version="1.0.0.1" store="developer" storeType="Registry"/>
  <we:alternateReferences/>
  <we:properties>
    <we:property name="ProjectMetadata" value="&quot;{\&quot;projectId\&quot;:24211}&quot;"/>
  </we:properties>
  <we:bindings/>
  <we:snapshot xmlns:r="http://schemas.openxmlformats.org/officeDocument/2006/relationships"/>
</we:webextension>
</file>

<file path=xl/webextensions/webextension2.xml><?xml version="1.0" encoding="utf-8"?>
<we:webextension xmlns:we="http://schemas.microsoft.com/office/webextensions/webextension/2010/11" id="{8F8D0E1D-97DB-E940-B432-399F6FEFE166}">
  <we:reference id="9f66c7d4-e8be-4c7c-cb33-dc400a31d333" version="1.0.0.2" store="developer" storeType="Registry"/>
  <we:alternateReferences/>
  <we:properties/>
  <we:bindings/>
  <we:snapshot xmlns:r="http://schemas.openxmlformats.org/officeDocument/2006/relationships"/>
</we:webextension>
</file>

<file path=xl/webextensions/webextension3.xml><?xml version="1.0" encoding="utf-8"?>
<we:webextension xmlns:we="http://schemas.microsoft.com/office/webextensions/webextension/2010/11" id="{9825789D-398E-5949-B7E7-D36F593437F4}">
  <we:reference id="54eb5c5c-e5b9-4979-bccc-9f51daeed5ea" version="1.0.0.2" store="developer" storeType="Registry"/>
  <we:alternateReferences/>
  <we:properties>
    <we:property name="ProjectMetadata" value="&quot;{\&quot;projectId\&quot;:17198}&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66820-FD23-4ABA-82EC-6519F0DE1FA5}">
  <dimension ref="A1"/>
  <sheetViews>
    <sheetView showGridLines="0" zoomScale="165" zoomScaleNormal="130" workbookViewId="0">
      <selection activeCell="I16" sqref="I16"/>
    </sheetView>
  </sheetViews>
  <sheetFormatPr baseColWidth="10" defaultColWidth="8.83203125" defaultRowHeight="15" x14ac:dyDescent="0.2"/>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C7FDF-0AD0-4C2D-BCB5-0A19A0251197}">
  <sheetPr>
    <tabColor rgb="FF4472C4"/>
  </sheetPr>
  <dimension ref="A1:AZ968"/>
  <sheetViews>
    <sheetView showGridLines="0" tabSelected="1" zoomScale="125" zoomScaleNormal="70" workbookViewId="0">
      <pane xSplit="2" ySplit="12" topLeftCell="C13" activePane="bottomRight" state="frozen"/>
      <selection activeCell="I56" sqref="I56"/>
      <selection pane="topRight" activeCell="I56" sqref="I56"/>
      <selection pane="bottomLeft" activeCell="I56" sqref="I56"/>
      <selection pane="bottomRight" activeCell="P18" sqref="P18"/>
    </sheetView>
  </sheetViews>
  <sheetFormatPr baseColWidth="10" defaultColWidth="12.6640625" defaultRowHeight="15" customHeight="1" outlineLevelRow="1" outlineLevelCol="2" x14ac:dyDescent="0.2"/>
  <cols>
    <col min="1" max="1" width="2.33203125" style="28" customWidth="1"/>
    <col min="2" max="2" width="42.83203125" style="28" customWidth="1"/>
    <col min="3" max="5" width="2.6640625" style="28" customWidth="1"/>
    <col min="6" max="9" width="10.1640625" style="28" hidden="1" customWidth="1" outlineLevel="2"/>
    <col min="10" max="10" width="10.1640625" style="28" customWidth="1" outlineLevel="1" collapsed="1"/>
    <col min="11" max="14" width="10.1640625" style="28" hidden="1" customWidth="1" outlineLevel="2"/>
    <col min="15" max="15" width="10.1640625" style="28" customWidth="1" outlineLevel="1" collapsed="1"/>
    <col min="16" max="17" width="10.1640625" style="28" customWidth="1" outlineLevel="2"/>
    <col min="18" max="19" width="13.83203125" style="28" customWidth="1" outlineLevel="2"/>
    <col min="20" max="22" width="13.83203125" style="28" customWidth="1" outlineLevel="1"/>
    <col min="23" max="23" width="13.83203125" style="28" customWidth="1" outlineLevel="1" collapsed="1"/>
    <col min="24" max="24" width="13.83203125" style="28" customWidth="1" outlineLevel="1"/>
    <col min="25" max="25" width="14.5" style="28" customWidth="1"/>
    <col min="26" max="26" width="13.83203125" style="28" hidden="1" customWidth="1" outlineLevel="2"/>
    <col min="27" max="27" width="13.6640625" style="28" hidden="1" customWidth="1" outlineLevel="2"/>
    <col min="28" max="28" width="13.83203125" style="28" hidden="1" customWidth="1" outlineLevel="2"/>
    <col min="29" max="29" width="13.33203125" style="28" hidden="1" customWidth="1" outlineLevel="2"/>
    <col min="30" max="30" width="14.5" style="28" customWidth="1" outlineLevel="1" collapsed="1"/>
    <col min="31" max="32" width="13.83203125" style="28" hidden="1" customWidth="1" outlineLevel="2"/>
    <col min="33" max="33" width="14.1640625" style="28" hidden="1" customWidth="1" outlineLevel="2"/>
    <col min="34" max="34" width="14.5" style="28" hidden="1" customWidth="1" outlineLevel="2"/>
    <col min="35" max="35" width="14.1640625" style="28" customWidth="1" outlineLevel="1" collapsed="1"/>
    <col min="36" max="37" width="14.1640625" style="28" hidden="1" customWidth="1" outlineLevel="2"/>
    <col min="38" max="38" width="14.83203125" style="28" hidden="1" customWidth="1" outlineLevel="2"/>
    <col min="39" max="39" width="14.5" style="28" hidden="1" customWidth="1" outlineLevel="2"/>
    <col min="40" max="40" width="14.5" style="28" customWidth="1" outlineLevel="1" collapsed="1"/>
    <col min="41" max="52" width="10.1640625" style="28" customWidth="1"/>
    <col min="53" max="16384" width="12.6640625" style="28"/>
  </cols>
  <sheetData>
    <row r="1" spans="1:52" ht="11.25" customHeight="1" outlineLevel="1" x14ac:dyDescent="0.2">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row>
    <row r="2" spans="1:52" ht="11.25" customHeight="1" outlineLevel="1" x14ac:dyDescent="0.2">
      <c r="A2" s="27"/>
      <c r="B2" s="29" t="s">
        <v>460</v>
      </c>
      <c r="C2" s="29"/>
      <c r="D2" s="29"/>
      <c r="E2" s="29"/>
      <c r="F2" s="30">
        <v>43497</v>
      </c>
      <c r="G2" s="31">
        <f>+F3+1</f>
        <v>43586</v>
      </c>
      <c r="H2" s="31">
        <f>+G3+1</f>
        <v>43678</v>
      </c>
      <c r="I2" s="31">
        <f>+H3+1</f>
        <v>43770</v>
      </c>
      <c r="J2" s="31">
        <f>+F2</f>
        <v>43497</v>
      </c>
      <c r="K2" s="31">
        <f>+J3+1</f>
        <v>43862</v>
      </c>
      <c r="L2" s="31">
        <f>+K3+1</f>
        <v>43952</v>
      </c>
      <c r="M2" s="31">
        <f>+L3+1</f>
        <v>44044</v>
      </c>
      <c r="N2" s="31">
        <f>+M3+1</f>
        <v>44136</v>
      </c>
      <c r="O2" s="31">
        <f>+K2</f>
        <v>43862</v>
      </c>
      <c r="P2" s="31">
        <f>+O3+1</f>
        <v>44228</v>
      </c>
      <c r="Q2" s="31">
        <f>+P3+1</f>
        <v>44317</v>
      </c>
      <c r="R2" s="31">
        <f>+Q3+1</f>
        <v>44409</v>
      </c>
      <c r="S2" s="31">
        <f>+R3+1</f>
        <v>44501</v>
      </c>
      <c r="T2" s="31">
        <f>+P2</f>
        <v>44228</v>
      </c>
      <c r="U2" s="31">
        <f>+T3+1</f>
        <v>44593</v>
      </c>
      <c r="V2" s="31">
        <f>+U3+1</f>
        <v>44682</v>
      </c>
      <c r="W2" s="31">
        <f>+V3+1</f>
        <v>44774</v>
      </c>
      <c r="X2" s="31">
        <f>+W3+1</f>
        <v>44866</v>
      </c>
      <c r="Y2" s="31">
        <f>+U2</f>
        <v>44593</v>
      </c>
      <c r="Z2" s="31">
        <f>+Y3+1</f>
        <v>44958</v>
      </c>
      <c r="AA2" s="31">
        <f>+Z3+1</f>
        <v>45047</v>
      </c>
      <c r="AB2" s="31">
        <f>+AA3+1</f>
        <v>45139</v>
      </c>
      <c r="AC2" s="31">
        <f>+AB3+1</f>
        <v>45231</v>
      </c>
      <c r="AD2" s="31">
        <f>+Z2</f>
        <v>44958</v>
      </c>
      <c r="AE2" s="31">
        <f>+AD3+1</f>
        <v>45323</v>
      </c>
      <c r="AF2" s="31">
        <f>+AE3+1</f>
        <v>45413</v>
      </c>
      <c r="AG2" s="31">
        <f>+AF3+1</f>
        <v>45505</v>
      </c>
      <c r="AH2" s="31">
        <f>+AG3+1</f>
        <v>45597</v>
      </c>
      <c r="AI2" s="31">
        <f>+AE2</f>
        <v>45323</v>
      </c>
      <c r="AJ2" s="31">
        <f>+AI3+1</f>
        <v>45689</v>
      </c>
      <c r="AK2" s="31">
        <f>+AJ3+1</f>
        <v>45778</v>
      </c>
      <c r="AL2" s="31">
        <f>+AK3+1</f>
        <v>45870</v>
      </c>
      <c r="AM2" s="31">
        <f>+AL3+1</f>
        <v>45962</v>
      </c>
      <c r="AN2" s="31">
        <f>+AJ2</f>
        <v>45689</v>
      </c>
      <c r="AO2" s="27"/>
      <c r="AP2" s="27"/>
      <c r="AQ2" s="27"/>
      <c r="AR2" s="27"/>
      <c r="AS2" s="27"/>
      <c r="AT2" s="27"/>
      <c r="AU2" s="27"/>
      <c r="AV2" s="27"/>
      <c r="AW2" s="27"/>
      <c r="AX2" s="27"/>
      <c r="AY2" s="27"/>
      <c r="AZ2" s="27"/>
    </row>
    <row r="3" spans="1:52" ht="11.25" customHeight="1" outlineLevel="1" x14ac:dyDescent="0.2">
      <c r="A3" s="27"/>
      <c r="B3" s="32" t="s">
        <v>461</v>
      </c>
      <c r="C3" s="32"/>
      <c r="D3" s="32"/>
      <c r="E3" s="32"/>
      <c r="F3" s="33">
        <f>+EOMONTH(F2,2)</f>
        <v>43585</v>
      </c>
      <c r="G3" s="33">
        <f>+EOMONTH(G2,2)</f>
        <v>43677</v>
      </c>
      <c r="H3" s="33">
        <f>+EOMONTH(H2,2)</f>
        <v>43769</v>
      </c>
      <c r="I3" s="33">
        <f>+EOMONTH(I2,2)</f>
        <v>43861</v>
      </c>
      <c r="J3" s="33">
        <f>+I3</f>
        <v>43861</v>
      </c>
      <c r="K3" s="33">
        <f>+EOMONTH(K2,2)</f>
        <v>43951</v>
      </c>
      <c r="L3" s="33">
        <f>+EOMONTH(L2,2)</f>
        <v>44043</v>
      </c>
      <c r="M3" s="33">
        <f>+EOMONTH(M2,2)</f>
        <v>44135</v>
      </c>
      <c r="N3" s="33">
        <f>+EOMONTH(N2,2)</f>
        <v>44227</v>
      </c>
      <c r="O3" s="33">
        <f>+N3</f>
        <v>44227</v>
      </c>
      <c r="P3" s="33">
        <f>+EOMONTH(P2,2)</f>
        <v>44316</v>
      </c>
      <c r="Q3" s="33">
        <f>+EOMONTH(Q2,2)</f>
        <v>44408</v>
      </c>
      <c r="R3" s="33">
        <f>+EOMONTH(R2,2)</f>
        <v>44500</v>
      </c>
      <c r="S3" s="33">
        <f>+EOMONTH(S2,2)</f>
        <v>44592</v>
      </c>
      <c r="T3" s="33">
        <f>+S3</f>
        <v>44592</v>
      </c>
      <c r="U3" s="33">
        <f>+EOMONTH(U2,2)</f>
        <v>44681</v>
      </c>
      <c r="V3" s="33">
        <f>+EOMONTH(V2,2)</f>
        <v>44773</v>
      </c>
      <c r="W3" s="33">
        <f>+EOMONTH(W2,2)</f>
        <v>44865</v>
      </c>
      <c r="X3" s="33">
        <f>+EOMONTH(X2,2)</f>
        <v>44957</v>
      </c>
      <c r="Y3" s="33">
        <f>+X3</f>
        <v>44957</v>
      </c>
      <c r="Z3" s="33">
        <f>+EOMONTH(Z2,2)</f>
        <v>45046</v>
      </c>
      <c r="AA3" s="33">
        <f>+EOMONTH(AA2,2)</f>
        <v>45138</v>
      </c>
      <c r="AB3" s="33">
        <f>+EOMONTH(AB2,2)</f>
        <v>45230</v>
      </c>
      <c r="AC3" s="33">
        <f>+EOMONTH(AC2,2)</f>
        <v>45322</v>
      </c>
      <c r="AD3" s="33">
        <f>+AC3</f>
        <v>45322</v>
      </c>
      <c r="AE3" s="33">
        <f>+EOMONTH(AE2,2)</f>
        <v>45412</v>
      </c>
      <c r="AF3" s="33">
        <f>+EOMONTH(AF2,2)</f>
        <v>45504</v>
      </c>
      <c r="AG3" s="33">
        <f>+EOMONTH(AG2,2)</f>
        <v>45596</v>
      </c>
      <c r="AH3" s="33">
        <f>+EOMONTH(AH2,2)</f>
        <v>45688</v>
      </c>
      <c r="AI3" s="33">
        <f>+AH3</f>
        <v>45688</v>
      </c>
      <c r="AJ3" s="33">
        <f>+EOMONTH(AJ2,2)</f>
        <v>45777</v>
      </c>
      <c r="AK3" s="33">
        <f>+EOMONTH(AK2,2)</f>
        <v>45869</v>
      </c>
      <c r="AL3" s="33">
        <f>+EOMONTH(AL2,2)</f>
        <v>45961</v>
      </c>
      <c r="AM3" s="33">
        <f>+EOMONTH(AM2,2)</f>
        <v>46053</v>
      </c>
      <c r="AN3" s="33">
        <f>+AM3</f>
        <v>46053</v>
      </c>
      <c r="AO3" s="27"/>
      <c r="AP3" s="27"/>
      <c r="AQ3" s="27"/>
      <c r="AR3" s="27"/>
      <c r="AS3" s="27"/>
      <c r="AT3" s="27"/>
      <c r="AU3" s="27"/>
      <c r="AV3" s="27"/>
      <c r="AW3" s="27"/>
      <c r="AX3" s="27"/>
      <c r="AY3" s="27"/>
      <c r="AZ3" s="27"/>
    </row>
    <row r="4" spans="1:52" ht="11.25" customHeight="1" outlineLevel="1" x14ac:dyDescent="0.2">
      <c r="A4" s="27"/>
      <c r="B4" s="34" t="s">
        <v>462</v>
      </c>
      <c r="C4" s="34"/>
      <c r="D4" s="34"/>
      <c r="E4" s="34"/>
      <c r="F4" s="34">
        <f t="shared" ref="F4:AN4" si="0">+YEAR(F3)+(MONTH(F3)&gt;=2)</f>
        <v>2020</v>
      </c>
      <c r="G4" s="34">
        <f t="shared" si="0"/>
        <v>2020</v>
      </c>
      <c r="H4" s="34">
        <f t="shared" si="0"/>
        <v>2020</v>
      </c>
      <c r="I4" s="34">
        <f t="shared" si="0"/>
        <v>2020</v>
      </c>
      <c r="J4" s="34">
        <f t="shared" si="0"/>
        <v>2020</v>
      </c>
      <c r="K4" s="34">
        <f t="shared" si="0"/>
        <v>2021</v>
      </c>
      <c r="L4" s="34">
        <f t="shared" si="0"/>
        <v>2021</v>
      </c>
      <c r="M4" s="34">
        <f t="shared" si="0"/>
        <v>2021</v>
      </c>
      <c r="N4" s="34">
        <f t="shared" si="0"/>
        <v>2021</v>
      </c>
      <c r="O4" s="34">
        <f t="shared" si="0"/>
        <v>2021</v>
      </c>
      <c r="P4" s="34">
        <f t="shared" si="0"/>
        <v>2022</v>
      </c>
      <c r="Q4" s="34">
        <f t="shared" si="0"/>
        <v>2022</v>
      </c>
      <c r="R4" s="34">
        <f t="shared" si="0"/>
        <v>2022</v>
      </c>
      <c r="S4" s="34">
        <f t="shared" si="0"/>
        <v>2022</v>
      </c>
      <c r="T4" s="34">
        <f t="shared" si="0"/>
        <v>2022</v>
      </c>
      <c r="U4" s="34">
        <f t="shared" si="0"/>
        <v>2023</v>
      </c>
      <c r="V4" s="34">
        <f t="shared" si="0"/>
        <v>2023</v>
      </c>
      <c r="W4" s="34">
        <f t="shared" si="0"/>
        <v>2023</v>
      </c>
      <c r="X4" s="34">
        <f t="shared" si="0"/>
        <v>2023</v>
      </c>
      <c r="Y4" s="34">
        <f t="shared" si="0"/>
        <v>2023</v>
      </c>
      <c r="Z4" s="34">
        <f t="shared" si="0"/>
        <v>2024</v>
      </c>
      <c r="AA4" s="34">
        <f t="shared" si="0"/>
        <v>2024</v>
      </c>
      <c r="AB4" s="34">
        <f t="shared" si="0"/>
        <v>2024</v>
      </c>
      <c r="AC4" s="34">
        <f t="shared" si="0"/>
        <v>2024</v>
      </c>
      <c r="AD4" s="34">
        <f t="shared" si="0"/>
        <v>2024</v>
      </c>
      <c r="AE4" s="34">
        <f t="shared" si="0"/>
        <v>2025</v>
      </c>
      <c r="AF4" s="34">
        <f t="shared" si="0"/>
        <v>2025</v>
      </c>
      <c r="AG4" s="34">
        <f t="shared" si="0"/>
        <v>2025</v>
      </c>
      <c r="AH4" s="34">
        <f t="shared" si="0"/>
        <v>2025</v>
      </c>
      <c r="AI4" s="34">
        <f t="shared" si="0"/>
        <v>2025</v>
      </c>
      <c r="AJ4" s="34">
        <f t="shared" si="0"/>
        <v>2026</v>
      </c>
      <c r="AK4" s="34">
        <f t="shared" si="0"/>
        <v>2026</v>
      </c>
      <c r="AL4" s="34">
        <f t="shared" si="0"/>
        <v>2026</v>
      </c>
      <c r="AM4" s="34">
        <f t="shared" si="0"/>
        <v>2026</v>
      </c>
      <c r="AN4" s="34">
        <f t="shared" si="0"/>
        <v>2026</v>
      </c>
      <c r="AO4" s="27"/>
      <c r="AP4" s="27"/>
      <c r="AQ4" s="27"/>
      <c r="AR4" s="27"/>
      <c r="AS4" s="27"/>
      <c r="AT4" s="27"/>
      <c r="AU4" s="27"/>
      <c r="AV4" s="27"/>
      <c r="AW4" s="27"/>
      <c r="AX4" s="27"/>
      <c r="AY4" s="27"/>
      <c r="AZ4" s="27"/>
    </row>
    <row r="5" spans="1:52" ht="11.25" customHeight="1" outlineLevel="1" x14ac:dyDescent="0.2">
      <c r="A5" s="27"/>
      <c r="B5" s="34" t="s">
        <v>463</v>
      </c>
      <c r="C5" s="34"/>
      <c r="D5" s="34"/>
      <c r="E5" s="34"/>
      <c r="F5" s="34">
        <f t="shared" ref="F5:AN5" si="1">+CHOOSE(MONTH(F3),4,1,1,1,2,2,2,3,3,3,4,4)</f>
        <v>1</v>
      </c>
      <c r="G5" s="34">
        <f t="shared" si="1"/>
        <v>2</v>
      </c>
      <c r="H5" s="34">
        <f t="shared" si="1"/>
        <v>3</v>
      </c>
      <c r="I5" s="34">
        <f t="shared" si="1"/>
        <v>4</v>
      </c>
      <c r="J5" s="34">
        <f t="shared" si="1"/>
        <v>4</v>
      </c>
      <c r="K5" s="34">
        <f t="shared" si="1"/>
        <v>1</v>
      </c>
      <c r="L5" s="34">
        <f t="shared" si="1"/>
        <v>2</v>
      </c>
      <c r="M5" s="34">
        <f t="shared" si="1"/>
        <v>3</v>
      </c>
      <c r="N5" s="34">
        <f t="shared" si="1"/>
        <v>4</v>
      </c>
      <c r="O5" s="34">
        <f t="shared" si="1"/>
        <v>4</v>
      </c>
      <c r="P5" s="34">
        <f t="shared" si="1"/>
        <v>1</v>
      </c>
      <c r="Q5" s="34">
        <f t="shared" si="1"/>
        <v>2</v>
      </c>
      <c r="R5" s="34">
        <f t="shared" si="1"/>
        <v>3</v>
      </c>
      <c r="S5" s="34">
        <f t="shared" si="1"/>
        <v>4</v>
      </c>
      <c r="T5" s="34">
        <f t="shared" si="1"/>
        <v>4</v>
      </c>
      <c r="U5" s="34">
        <f t="shared" si="1"/>
        <v>1</v>
      </c>
      <c r="V5" s="34">
        <f t="shared" si="1"/>
        <v>2</v>
      </c>
      <c r="W5" s="34">
        <f t="shared" si="1"/>
        <v>3</v>
      </c>
      <c r="X5" s="34">
        <f t="shared" si="1"/>
        <v>4</v>
      </c>
      <c r="Y5" s="34">
        <f t="shared" si="1"/>
        <v>4</v>
      </c>
      <c r="Z5" s="34">
        <f t="shared" si="1"/>
        <v>1</v>
      </c>
      <c r="AA5" s="34">
        <f t="shared" si="1"/>
        <v>2</v>
      </c>
      <c r="AB5" s="34">
        <f t="shared" si="1"/>
        <v>3</v>
      </c>
      <c r="AC5" s="34">
        <f t="shared" si="1"/>
        <v>4</v>
      </c>
      <c r="AD5" s="34">
        <f t="shared" si="1"/>
        <v>4</v>
      </c>
      <c r="AE5" s="34">
        <f t="shared" si="1"/>
        <v>1</v>
      </c>
      <c r="AF5" s="34">
        <f t="shared" si="1"/>
        <v>2</v>
      </c>
      <c r="AG5" s="34">
        <f t="shared" si="1"/>
        <v>3</v>
      </c>
      <c r="AH5" s="34">
        <f t="shared" si="1"/>
        <v>4</v>
      </c>
      <c r="AI5" s="34">
        <f t="shared" si="1"/>
        <v>4</v>
      </c>
      <c r="AJ5" s="34">
        <f t="shared" si="1"/>
        <v>1</v>
      </c>
      <c r="AK5" s="34">
        <f t="shared" si="1"/>
        <v>2</v>
      </c>
      <c r="AL5" s="34">
        <f t="shared" si="1"/>
        <v>3</v>
      </c>
      <c r="AM5" s="34">
        <f t="shared" si="1"/>
        <v>4</v>
      </c>
      <c r="AN5" s="34">
        <f t="shared" si="1"/>
        <v>4</v>
      </c>
      <c r="AO5" s="27"/>
      <c r="AP5" s="27"/>
      <c r="AQ5" s="27"/>
      <c r="AR5" s="27"/>
      <c r="AS5" s="27"/>
      <c r="AT5" s="27"/>
      <c r="AU5" s="27"/>
      <c r="AV5" s="27"/>
      <c r="AW5" s="27"/>
      <c r="AX5" s="27"/>
      <c r="AY5" s="27"/>
      <c r="AZ5" s="27"/>
    </row>
    <row r="6" spans="1:52" ht="11.25" customHeight="1" outlineLevel="1" x14ac:dyDescent="0.2">
      <c r="A6" s="27"/>
      <c r="B6" s="35" t="s">
        <v>464</v>
      </c>
      <c r="C6" s="35"/>
      <c r="D6" s="35"/>
      <c r="E6" s="35"/>
      <c r="F6" s="35">
        <f t="shared" ref="F6:AN6" si="2">+CHOOSE(MONTH(F3),12,1,2,3,4,5,6,7,8,9,10,11)</f>
        <v>3</v>
      </c>
      <c r="G6" s="35">
        <f t="shared" si="2"/>
        <v>6</v>
      </c>
      <c r="H6" s="35">
        <f t="shared" si="2"/>
        <v>9</v>
      </c>
      <c r="I6" s="35">
        <f t="shared" si="2"/>
        <v>12</v>
      </c>
      <c r="J6" s="35">
        <f t="shared" si="2"/>
        <v>12</v>
      </c>
      <c r="K6" s="35">
        <f t="shared" si="2"/>
        <v>3</v>
      </c>
      <c r="L6" s="35">
        <f t="shared" si="2"/>
        <v>6</v>
      </c>
      <c r="M6" s="35">
        <f t="shared" si="2"/>
        <v>9</v>
      </c>
      <c r="N6" s="35">
        <f t="shared" si="2"/>
        <v>12</v>
      </c>
      <c r="O6" s="35">
        <f t="shared" si="2"/>
        <v>12</v>
      </c>
      <c r="P6" s="35">
        <f t="shared" si="2"/>
        <v>3</v>
      </c>
      <c r="Q6" s="35">
        <f t="shared" si="2"/>
        <v>6</v>
      </c>
      <c r="R6" s="35">
        <f t="shared" si="2"/>
        <v>9</v>
      </c>
      <c r="S6" s="35">
        <f t="shared" si="2"/>
        <v>12</v>
      </c>
      <c r="T6" s="35">
        <f t="shared" si="2"/>
        <v>12</v>
      </c>
      <c r="U6" s="35">
        <f t="shared" si="2"/>
        <v>3</v>
      </c>
      <c r="V6" s="35">
        <f t="shared" si="2"/>
        <v>6</v>
      </c>
      <c r="W6" s="35">
        <f t="shared" si="2"/>
        <v>9</v>
      </c>
      <c r="X6" s="35">
        <f t="shared" si="2"/>
        <v>12</v>
      </c>
      <c r="Y6" s="35">
        <f t="shared" si="2"/>
        <v>12</v>
      </c>
      <c r="Z6" s="35">
        <f t="shared" si="2"/>
        <v>3</v>
      </c>
      <c r="AA6" s="35">
        <f t="shared" si="2"/>
        <v>6</v>
      </c>
      <c r="AB6" s="35">
        <f t="shared" si="2"/>
        <v>9</v>
      </c>
      <c r="AC6" s="35">
        <f t="shared" si="2"/>
        <v>12</v>
      </c>
      <c r="AD6" s="35">
        <f t="shared" si="2"/>
        <v>12</v>
      </c>
      <c r="AE6" s="35">
        <f t="shared" si="2"/>
        <v>3</v>
      </c>
      <c r="AF6" s="35">
        <f t="shared" si="2"/>
        <v>6</v>
      </c>
      <c r="AG6" s="35">
        <f t="shared" si="2"/>
        <v>9</v>
      </c>
      <c r="AH6" s="35">
        <f t="shared" si="2"/>
        <v>12</v>
      </c>
      <c r="AI6" s="35">
        <f t="shared" si="2"/>
        <v>12</v>
      </c>
      <c r="AJ6" s="35">
        <f t="shared" si="2"/>
        <v>3</v>
      </c>
      <c r="AK6" s="35">
        <f t="shared" si="2"/>
        <v>6</v>
      </c>
      <c r="AL6" s="35">
        <f t="shared" si="2"/>
        <v>9</v>
      </c>
      <c r="AM6" s="35">
        <f t="shared" si="2"/>
        <v>12</v>
      </c>
      <c r="AN6" s="35">
        <f t="shared" si="2"/>
        <v>12</v>
      </c>
      <c r="AO6" s="27"/>
      <c r="AP6" s="27"/>
      <c r="AQ6" s="27"/>
      <c r="AR6" s="27"/>
      <c r="AS6" s="27"/>
      <c r="AT6" s="27"/>
      <c r="AU6" s="27"/>
      <c r="AV6" s="27"/>
      <c r="AW6" s="27"/>
      <c r="AX6" s="27"/>
      <c r="AY6" s="27"/>
      <c r="AZ6" s="27"/>
    </row>
    <row r="7" spans="1:52" ht="11.25" customHeight="1" x14ac:dyDescent="0.2">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row>
    <row r="8" spans="1:52" ht="11.25" customHeight="1" x14ac:dyDescent="0.2">
      <c r="A8" s="27"/>
      <c r="B8" s="36" t="s">
        <v>1956</v>
      </c>
      <c r="C8" s="36"/>
      <c r="D8" s="36"/>
      <c r="E8" s="36"/>
      <c r="F8" s="36"/>
      <c r="G8" s="36"/>
      <c r="H8" s="36"/>
      <c r="I8" s="36"/>
      <c r="J8" s="36"/>
      <c r="K8" s="36"/>
      <c r="L8" s="36"/>
      <c r="M8" s="36"/>
      <c r="N8" s="36"/>
      <c r="O8" s="36"/>
      <c r="P8" s="36"/>
      <c r="Q8" s="36"/>
      <c r="R8" s="36"/>
      <c r="S8" s="36"/>
      <c r="T8" s="36"/>
      <c r="U8" s="36"/>
      <c r="V8" s="37"/>
      <c r="W8" s="37"/>
      <c r="X8" s="37"/>
      <c r="Y8" s="3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row>
    <row r="9" spans="1:52" ht="11.25" customHeight="1" x14ac:dyDescent="0.2">
      <c r="A9" s="27"/>
      <c r="B9" s="38" t="s">
        <v>465</v>
      </c>
      <c r="C9" s="38">
        <v>1</v>
      </c>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27"/>
      <c r="AP9" s="27"/>
      <c r="AQ9" s="27"/>
      <c r="AR9" s="27"/>
      <c r="AS9" s="27"/>
      <c r="AT9" s="27"/>
      <c r="AU9" s="27"/>
      <c r="AV9" s="27"/>
      <c r="AW9" s="27"/>
      <c r="AX9" s="27"/>
      <c r="AY9" s="27"/>
      <c r="AZ9" s="27"/>
    </row>
    <row r="10" spans="1:52" ht="11.25" customHeight="1" x14ac:dyDescent="0.2">
      <c r="A10" s="27"/>
      <c r="B10" s="27"/>
      <c r="C10" s="27"/>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row>
    <row r="11" spans="1:52" ht="15.75" customHeight="1" x14ac:dyDescent="0.2">
      <c r="A11" s="27"/>
      <c r="B11" s="39"/>
      <c r="C11" s="39"/>
      <c r="D11" s="39"/>
      <c r="E11" s="39"/>
      <c r="F11" s="40" t="s">
        <v>466</v>
      </c>
      <c r="G11" s="40" t="s">
        <v>466</v>
      </c>
      <c r="H11" s="40" t="s">
        <v>466</v>
      </c>
      <c r="I11" s="40" t="s">
        <v>466</v>
      </c>
      <c r="J11" s="40" t="s">
        <v>466</v>
      </c>
      <c r="K11" s="40" t="s">
        <v>466</v>
      </c>
      <c r="L11" s="40" t="s">
        <v>466</v>
      </c>
      <c r="M11" s="40" t="s">
        <v>466</v>
      </c>
      <c r="N11" s="40" t="s">
        <v>466</v>
      </c>
      <c r="O11" s="40" t="s">
        <v>466</v>
      </c>
      <c r="P11" s="40" t="s">
        <v>466</v>
      </c>
      <c r="Q11" s="40" t="s">
        <v>466</v>
      </c>
      <c r="R11" s="40" t="s">
        <v>466</v>
      </c>
      <c r="S11" s="40" t="s">
        <v>466</v>
      </c>
      <c r="T11" s="40" t="s">
        <v>466</v>
      </c>
      <c r="U11" s="40" t="s">
        <v>466</v>
      </c>
      <c r="V11" s="40" t="s">
        <v>466</v>
      </c>
      <c r="W11" s="41" t="s">
        <v>467</v>
      </c>
      <c r="X11" s="42" t="s">
        <v>467</v>
      </c>
      <c r="Y11" s="42" t="s">
        <v>467</v>
      </c>
      <c r="Z11" s="42" t="s">
        <v>467</v>
      </c>
      <c r="AA11" s="42" t="s">
        <v>467</v>
      </c>
      <c r="AB11" s="42" t="s">
        <v>467</v>
      </c>
      <c r="AC11" s="42" t="s">
        <v>467</v>
      </c>
      <c r="AD11" s="42" t="s">
        <v>467</v>
      </c>
      <c r="AE11" s="42" t="s">
        <v>467</v>
      </c>
      <c r="AF11" s="42" t="s">
        <v>467</v>
      </c>
      <c r="AG11" s="42" t="s">
        <v>467</v>
      </c>
      <c r="AH11" s="42" t="s">
        <v>467</v>
      </c>
      <c r="AI11" s="42" t="s">
        <v>467</v>
      </c>
      <c r="AJ11" s="42" t="s">
        <v>467</v>
      </c>
      <c r="AK11" s="42" t="s">
        <v>467</v>
      </c>
      <c r="AL11" s="42" t="s">
        <v>467</v>
      </c>
      <c r="AM11" s="42" t="s">
        <v>467</v>
      </c>
      <c r="AN11" s="42" t="s">
        <v>467</v>
      </c>
      <c r="AO11" s="27"/>
      <c r="AP11" s="27"/>
      <c r="AQ11" s="27"/>
      <c r="AR11" s="27"/>
      <c r="AS11" s="27"/>
      <c r="AT11" s="27"/>
      <c r="AU11" s="27"/>
      <c r="AV11" s="27"/>
      <c r="AW11" s="27"/>
      <c r="AX11" s="27"/>
      <c r="AY11" s="27"/>
      <c r="AZ11" s="27"/>
    </row>
    <row r="12" spans="1:52" ht="15.75" customHeight="1" x14ac:dyDescent="0.2">
      <c r="A12" s="27"/>
      <c r="B12" s="43"/>
      <c r="C12" s="43"/>
      <c r="D12" s="43"/>
      <c r="E12" s="43"/>
      <c r="F12" s="44" t="str">
        <f>+"FY"&amp;RIGHT(F$4,2)&amp;"-Q"&amp;F$5</f>
        <v>FY20-Q1</v>
      </c>
      <c r="G12" s="44" t="str">
        <f>+"FY"&amp;RIGHT(G$4,2)&amp;"-Q"&amp;G$5</f>
        <v>FY20-Q2</v>
      </c>
      <c r="H12" s="44" t="str">
        <f>+"FY"&amp;RIGHT(H$4,2)&amp;"-Q"&amp;H$5</f>
        <v>FY20-Q3</v>
      </c>
      <c r="I12" s="44" t="str">
        <f>+"FY"&amp;RIGHT(I$4,2)&amp;"-Q"&amp;I$5</f>
        <v>FY20-Q4</v>
      </c>
      <c r="J12" s="44" t="str">
        <f>+"FY"&amp;RIGHT(J$4,2)</f>
        <v>FY20</v>
      </c>
      <c r="K12" s="44" t="str">
        <f>+"FY"&amp;RIGHT(K$4,2)&amp;"-Q"&amp;K$5</f>
        <v>FY21-Q1</v>
      </c>
      <c r="L12" s="44" t="str">
        <f>+"FY"&amp;RIGHT(L$4,2)&amp;"-Q"&amp;L$5</f>
        <v>FY21-Q2</v>
      </c>
      <c r="M12" s="44" t="str">
        <f>+"FY"&amp;RIGHT(M$4,2)&amp;"-Q"&amp;M$5</f>
        <v>FY21-Q3</v>
      </c>
      <c r="N12" s="44" t="str">
        <f>+"FY"&amp;RIGHT(N$4,2)&amp;"-Q"&amp;N$5</f>
        <v>FY21-Q4</v>
      </c>
      <c r="O12" s="44" t="str">
        <f>+"FY"&amp;RIGHT(O$4,2)</f>
        <v>FY21</v>
      </c>
      <c r="P12" s="44" t="str">
        <f>+"FY"&amp;RIGHT(P$4,2)&amp;"-Q"&amp;P$5</f>
        <v>FY22-Q1</v>
      </c>
      <c r="Q12" s="44" t="str">
        <f>+"FY"&amp;RIGHT(Q$4,2)&amp;"-Q"&amp;Q$5</f>
        <v>FY22-Q2</v>
      </c>
      <c r="R12" s="44" t="str">
        <f>+"FY"&amp;RIGHT(R$4,2)&amp;"-Q"&amp;R$5</f>
        <v>FY22-Q3</v>
      </c>
      <c r="S12" s="44" t="str">
        <f>+"FY"&amp;RIGHT(S$4,2)&amp;"-Q"&amp;S$5</f>
        <v>FY22-Q4</v>
      </c>
      <c r="T12" s="44" t="str">
        <f>+"FY"&amp;RIGHT(T$4,2)</f>
        <v>FY22</v>
      </c>
      <c r="U12" s="44" t="str">
        <f>+"FY"&amp;RIGHT(U$4,2)&amp;"-Q"&amp;U$5</f>
        <v>FY23-Q1</v>
      </c>
      <c r="V12" s="44" t="str">
        <f>+"FY"&amp;RIGHT(V$4,2)&amp;"-Q"&amp;V$5</f>
        <v>FY23-Q2</v>
      </c>
      <c r="W12" s="45" t="str">
        <f>+"FY"&amp;RIGHT(W$4,2)&amp;"-Q"&amp;W$5</f>
        <v>FY23-Q3</v>
      </c>
      <c r="X12" s="44" t="str">
        <f>+"FY"&amp;RIGHT(X$4,2)&amp;"-Q"&amp;X$5</f>
        <v>FY23-Q4</v>
      </c>
      <c r="Y12" s="44" t="str">
        <f>+"FY"&amp;RIGHT(Y$4,2)</f>
        <v>FY23</v>
      </c>
      <c r="Z12" s="44" t="str">
        <f>+"FY"&amp;RIGHT(Z$4,2)&amp;"-Q"&amp;Z$5</f>
        <v>FY24-Q1</v>
      </c>
      <c r="AA12" s="44" t="str">
        <f>+"FY"&amp;RIGHT(AA$4,2)&amp;"-Q"&amp;AA$5</f>
        <v>FY24-Q2</v>
      </c>
      <c r="AB12" s="44" t="str">
        <f>+"FY"&amp;RIGHT(AB$4,2)&amp;"-Q"&amp;AB$5</f>
        <v>FY24-Q3</v>
      </c>
      <c r="AC12" s="44" t="str">
        <f>+"FY"&amp;RIGHT(AC$4,2)&amp;"-Q"&amp;AC$5</f>
        <v>FY24-Q4</v>
      </c>
      <c r="AD12" s="44" t="str">
        <f>+"FY"&amp;RIGHT(AD$4,2)</f>
        <v>FY24</v>
      </c>
      <c r="AE12" s="44" t="str">
        <f>+"FY"&amp;RIGHT(AE$4,2)&amp;"-Q"&amp;AE$5</f>
        <v>FY25-Q1</v>
      </c>
      <c r="AF12" s="44" t="str">
        <f>+"FY"&amp;RIGHT(AF$4,2)&amp;"-Q"&amp;AF$5</f>
        <v>FY25-Q2</v>
      </c>
      <c r="AG12" s="44" t="str">
        <f>+"FY"&amp;RIGHT(AG$4,2)&amp;"-Q"&amp;AG$5</f>
        <v>FY25-Q3</v>
      </c>
      <c r="AH12" s="44" t="str">
        <f>+"FY"&amp;RIGHT(AH$4,2)&amp;"-Q"&amp;AH$5</f>
        <v>FY25-Q4</v>
      </c>
      <c r="AI12" s="44" t="str">
        <f>+"FY"&amp;RIGHT(AI$4,2)</f>
        <v>FY25</v>
      </c>
      <c r="AJ12" s="44" t="str">
        <f>+"FY"&amp;RIGHT(AJ$4,2)&amp;"-Q"&amp;AJ$5</f>
        <v>FY26-Q1</v>
      </c>
      <c r="AK12" s="44" t="str">
        <f>+"FY"&amp;RIGHT(AK$4,2)&amp;"-Q"&amp;AK$5</f>
        <v>FY26-Q2</v>
      </c>
      <c r="AL12" s="44" t="str">
        <f>+"FY"&amp;RIGHT(AL$4,2)&amp;"-Q"&amp;AL$5</f>
        <v>FY26-Q3</v>
      </c>
      <c r="AM12" s="44" t="str">
        <f>+"FY"&amp;RIGHT(AM$4,2)&amp;"-Q"&amp;AM$5</f>
        <v>FY26-Q4</v>
      </c>
      <c r="AN12" s="44" t="str">
        <f>+"FY"&amp;RIGHT(AN$4,2)</f>
        <v>FY26</v>
      </c>
      <c r="AO12" s="27"/>
      <c r="AP12" s="27"/>
      <c r="AQ12" s="27"/>
      <c r="AR12" s="27"/>
      <c r="AS12" s="27"/>
      <c r="AT12" s="27"/>
      <c r="AU12" s="27"/>
      <c r="AV12" s="27"/>
      <c r="AW12" s="27"/>
      <c r="AX12" s="27"/>
      <c r="AY12" s="27"/>
      <c r="AZ12" s="27"/>
    </row>
    <row r="13" spans="1:52" ht="15.75" customHeight="1" x14ac:dyDescent="0.2">
      <c r="U13" s="27"/>
      <c r="V13" s="27"/>
      <c r="W13" s="46"/>
      <c r="AO13" s="27"/>
      <c r="AP13" s="27"/>
      <c r="AQ13" s="27"/>
      <c r="AR13" s="27"/>
      <c r="AS13" s="27"/>
      <c r="AT13" s="27"/>
      <c r="AU13" s="27"/>
      <c r="AV13" s="27"/>
      <c r="AW13" s="27"/>
      <c r="AX13" s="27"/>
      <c r="AY13" s="27"/>
      <c r="AZ13" s="27"/>
    </row>
    <row r="14" spans="1:52" ht="15.75" customHeight="1" x14ac:dyDescent="0.2">
      <c r="A14" s="27"/>
      <c r="B14" s="47" t="s">
        <v>468</v>
      </c>
      <c r="C14" s="47"/>
      <c r="D14" s="47"/>
      <c r="E14" s="47"/>
      <c r="F14" s="48"/>
      <c r="G14" s="48"/>
      <c r="H14" s="48"/>
      <c r="I14" s="48"/>
      <c r="J14" s="48"/>
      <c r="K14" s="48"/>
      <c r="L14" s="48"/>
      <c r="M14" s="48"/>
      <c r="N14" s="48"/>
      <c r="O14" s="48"/>
      <c r="P14" s="48"/>
      <c r="Q14" s="48"/>
      <c r="R14" s="48"/>
      <c r="S14" s="48"/>
      <c r="T14" s="48"/>
      <c r="U14" s="48"/>
      <c r="V14" s="48"/>
      <c r="W14" s="49"/>
      <c r="X14" s="48"/>
      <c r="Y14" s="48"/>
      <c r="Z14" s="48"/>
      <c r="AA14" s="48"/>
      <c r="AB14" s="48"/>
      <c r="AC14" s="48"/>
      <c r="AD14" s="48"/>
      <c r="AE14" s="48"/>
      <c r="AF14" s="48"/>
      <c r="AG14" s="48"/>
      <c r="AH14" s="48"/>
      <c r="AI14" s="48"/>
      <c r="AJ14" s="48"/>
      <c r="AK14" s="48"/>
      <c r="AL14" s="48"/>
      <c r="AM14" s="48"/>
      <c r="AN14" s="48"/>
      <c r="AO14" s="27"/>
      <c r="AP14" s="27"/>
      <c r="AQ14" s="27"/>
      <c r="AR14" s="27"/>
      <c r="AS14" s="27"/>
      <c r="AT14" s="27"/>
      <c r="AU14" s="27"/>
      <c r="AV14" s="27"/>
      <c r="AW14" s="27"/>
      <c r="AX14" s="27"/>
      <c r="AY14" s="27"/>
      <c r="AZ14" s="27"/>
    </row>
    <row r="15" spans="1:52" ht="15.75" customHeight="1" x14ac:dyDescent="0.2">
      <c r="A15" s="27"/>
      <c r="B15" s="50"/>
      <c r="C15" s="50"/>
      <c r="D15" s="50"/>
      <c r="E15" s="50"/>
      <c r="F15" s="50"/>
      <c r="G15" s="50"/>
      <c r="H15" s="50"/>
      <c r="I15" s="50"/>
      <c r="J15" s="51"/>
      <c r="K15" s="50"/>
      <c r="L15" s="50"/>
      <c r="M15" s="50"/>
      <c r="N15" s="50"/>
      <c r="O15" s="51"/>
      <c r="P15" s="50"/>
      <c r="Q15" s="50"/>
      <c r="R15" s="50"/>
      <c r="S15" s="50"/>
      <c r="T15" s="51"/>
      <c r="U15" s="50"/>
      <c r="V15" s="50"/>
      <c r="W15" s="52"/>
      <c r="X15" s="50"/>
      <c r="Y15" s="51"/>
      <c r="Z15" s="50"/>
      <c r="AA15" s="50"/>
      <c r="AB15" s="50"/>
      <c r="AC15" s="50"/>
      <c r="AD15" s="51"/>
      <c r="AE15" s="50"/>
      <c r="AF15" s="50"/>
      <c r="AG15" s="50"/>
      <c r="AH15" s="50"/>
      <c r="AI15" s="51"/>
      <c r="AJ15" s="50"/>
      <c r="AK15" s="50"/>
      <c r="AL15" s="50"/>
      <c r="AM15" s="50"/>
      <c r="AN15" s="51"/>
      <c r="AO15" s="27"/>
      <c r="AP15" s="27"/>
      <c r="AQ15" s="27"/>
      <c r="AR15" s="27"/>
      <c r="AS15" s="27"/>
      <c r="AT15" s="27"/>
      <c r="AU15" s="27"/>
      <c r="AV15" s="27"/>
      <c r="AW15" s="27"/>
      <c r="AX15" s="27"/>
      <c r="AY15" s="27"/>
      <c r="AZ15" s="27"/>
    </row>
    <row r="16" spans="1:52" ht="15.75" customHeight="1" x14ac:dyDescent="0.2">
      <c r="A16" s="27"/>
      <c r="B16" s="53" t="s">
        <v>469</v>
      </c>
      <c r="C16" s="53"/>
      <c r="D16" s="53"/>
      <c r="E16" s="53"/>
      <c r="F16" s="54"/>
      <c r="G16" s="54"/>
      <c r="H16" s="54"/>
      <c r="I16" s="54"/>
      <c r="J16" s="55"/>
      <c r="K16" s="54"/>
      <c r="L16" s="54"/>
      <c r="M16" s="54"/>
      <c r="N16" s="54"/>
      <c r="O16" s="55"/>
      <c r="P16" s="54"/>
      <c r="Q16" s="54"/>
      <c r="R16" s="54"/>
      <c r="S16" s="54"/>
      <c r="T16" s="55"/>
      <c r="U16" s="54"/>
      <c r="V16" s="54"/>
      <c r="W16" s="56"/>
      <c r="X16" s="54"/>
      <c r="Y16" s="55"/>
      <c r="Z16" s="54"/>
      <c r="AA16" s="54"/>
      <c r="AB16" s="54"/>
      <c r="AC16" s="54"/>
      <c r="AD16" s="55"/>
      <c r="AE16" s="54"/>
      <c r="AF16" s="54"/>
      <c r="AG16" s="54"/>
      <c r="AH16" s="54"/>
      <c r="AI16" s="55"/>
      <c r="AJ16" s="54"/>
      <c r="AK16" s="54"/>
      <c r="AL16" s="54"/>
      <c r="AM16" s="54"/>
      <c r="AN16" s="55"/>
      <c r="AO16" s="27"/>
      <c r="AP16" s="27"/>
      <c r="AQ16" s="27"/>
      <c r="AR16" s="27"/>
      <c r="AS16" s="27"/>
      <c r="AT16" s="27"/>
      <c r="AU16" s="27"/>
      <c r="AV16" s="27"/>
      <c r="AW16" s="27"/>
      <c r="AX16" s="27"/>
      <c r="AY16" s="27"/>
      <c r="AZ16" s="27"/>
    </row>
    <row r="17" spans="1:52" ht="15.75" customHeight="1" outlineLevel="1" x14ac:dyDescent="0.2">
      <c r="A17" s="27"/>
      <c r="B17" s="50" t="s">
        <v>470</v>
      </c>
      <c r="C17" s="50"/>
      <c r="D17" s="50"/>
      <c r="E17" s="50"/>
      <c r="F17" s="57">
        <f>'ARR by customer'!F12</f>
        <v>88512</v>
      </c>
      <c r="G17" s="58">
        <f>+F21</f>
        <v>90492</v>
      </c>
      <c r="H17" s="58">
        <f>+G21</f>
        <v>99732</v>
      </c>
      <c r="I17" s="58">
        <f>+H21</f>
        <v>114096</v>
      </c>
      <c r="J17" s="59">
        <f>+F17</f>
        <v>88512</v>
      </c>
      <c r="K17" s="58">
        <f>+J21</f>
        <v>255003.52000000002</v>
      </c>
      <c r="L17" s="58">
        <f>+K21</f>
        <v>490245.52</v>
      </c>
      <c r="M17" s="58">
        <f>+L21</f>
        <v>1037272</v>
      </c>
      <c r="N17" s="58">
        <f>+M21</f>
        <v>1371129</v>
      </c>
      <c r="O17" s="59">
        <f>+K17</f>
        <v>255003.52000000002</v>
      </c>
      <c r="P17" s="58">
        <f>+O21</f>
        <v>1823539</v>
      </c>
      <c r="Q17" s="58">
        <f>+P21</f>
        <v>2717789</v>
      </c>
      <c r="R17" s="58">
        <f>+Q21</f>
        <v>3215058</v>
      </c>
      <c r="S17" s="58">
        <f>+R21</f>
        <v>4558495</v>
      </c>
      <c r="T17" s="59">
        <f>+P17</f>
        <v>1823539</v>
      </c>
      <c r="U17" s="58">
        <f>T21</f>
        <v>6329297</v>
      </c>
      <c r="V17" s="58">
        <f>U21</f>
        <v>8311746</v>
      </c>
      <c r="W17" s="60">
        <f>+V21</f>
        <v>9733014.3000000007</v>
      </c>
      <c r="X17" s="58">
        <f>+W21</f>
        <v>13250671.300000001</v>
      </c>
      <c r="Y17" s="59">
        <f>+U17</f>
        <v>6329297</v>
      </c>
      <c r="Z17" s="58">
        <f>+X21</f>
        <v>17018704.300000001</v>
      </c>
      <c r="AA17" s="58">
        <f>+Z21</f>
        <v>20384498.300000001</v>
      </c>
      <c r="AB17" s="58">
        <f>+AA21</f>
        <v>24415947.300000001</v>
      </c>
      <c r="AC17" s="58">
        <f>+AB21</f>
        <v>29244697.300000001</v>
      </c>
      <c r="AD17" s="59">
        <f>+Z17</f>
        <v>17018704.300000001</v>
      </c>
      <c r="AE17" s="58">
        <f>+AC21</f>
        <v>35028429.299999997</v>
      </c>
      <c r="AF17" s="58">
        <f>+AE21</f>
        <v>42623229.299999997</v>
      </c>
      <c r="AG17" s="58">
        <f>+AF21</f>
        <v>51864719.299999997</v>
      </c>
      <c r="AH17" s="58">
        <f>+AG21</f>
        <v>63109933.299999997</v>
      </c>
      <c r="AI17" s="59">
        <f>+AE17</f>
        <v>35028429.299999997</v>
      </c>
      <c r="AJ17" s="58">
        <f>+AH21</f>
        <v>76793314.299999997</v>
      </c>
      <c r="AK17" s="58">
        <f>+AJ21</f>
        <v>88948668.299999997</v>
      </c>
      <c r="AL17" s="58">
        <f>+AK21</f>
        <v>103028053.3</v>
      </c>
      <c r="AM17" s="58">
        <f>+AL21</f>
        <v>119336016.3</v>
      </c>
      <c r="AN17" s="59">
        <f>+AJ17</f>
        <v>76793314.299999997</v>
      </c>
      <c r="AO17" s="27"/>
      <c r="AP17" s="27"/>
      <c r="AQ17" s="27"/>
      <c r="AR17" s="27"/>
      <c r="AS17" s="27"/>
      <c r="AT17" s="27"/>
      <c r="AU17" s="27"/>
      <c r="AV17" s="27"/>
      <c r="AW17" s="27"/>
      <c r="AX17" s="27"/>
      <c r="AY17" s="27"/>
      <c r="AZ17" s="27"/>
    </row>
    <row r="18" spans="1:52" ht="15.75" customHeight="1" outlineLevel="1" x14ac:dyDescent="0.2">
      <c r="A18" s="27"/>
      <c r="B18" s="50" t="s">
        <v>471</v>
      </c>
      <c r="C18" s="50"/>
      <c r="D18" s="50"/>
      <c r="E18" s="50"/>
      <c r="F18" s="58">
        <f>+SUMIFS('ARR by customer'!$E13:$AZ13,'ARR by customer'!$E$3:$AZ$3,"&gt;="&amp;F$2,'ARR by customer'!$E$3:$AZ$3,"&lt;="&amp;F$3)</f>
        <v>0</v>
      </c>
      <c r="G18" s="58">
        <f>+SUMIFS('ARR by customer'!$E13:$AZ13,'ARR by customer'!$E$3:$AZ$3,"&gt;="&amp;G$2,'ARR by customer'!$E$3:$AZ$3,"&lt;="&amp;G$3)</f>
        <v>8520</v>
      </c>
      <c r="H18" s="58">
        <f>+SUMIFS('ARR by customer'!$E13:$AZ13,'ARR by customer'!$E$3:$AZ$3,"&gt;="&amp;H$2,'ARR by customer'!$E$3:$AZ$3,"&lt;="&amp;H$3)</f>
        <v>13044</v>
      </c>
      <c r="I18" s="58">
        <f>+SUMIFS('ARR by customer'!$E13:$AZ13,'ARR by customer'!$E$3:$AZ$3,"&gt;="&amp;I$2,'ARR by customer'!$E$3:$AZ$3,"&lt;="&amp;I$3)</f>
        <v>112359.52</v>
      </c>
      <c r="J18" s="59">
        <f>+SUM(F18:I18)</f>
        <v>133923.52000000002</v>
      </c>
      <c r="K18" s="58">
        <f>+SUMIFS('ARR by customer'!$E13:$AZ13,'ARR by customer'!$E$3:$AZ$3,"&gt;="&amp;K$2,'ARR by customer'!$E$3:$AZ$3,"&lt;="&amp;K$3)</f>
        <v>243342</v>
      </c>
      <c r="L18" s="58">
        <f>+SUMIFS('ARR by customer'!$E13:$AZ13,'ARR by customer'!$E$3:$AZ$3,"&gt;="&amp;L$2,'ARR by customer'!$E$3:$AZ$3,"&lt;="&amp;L$3)</f>
        <v>543306</v>
      </c>
      <c r="M18" s="58">
        <f>+SUMIFS('ARR by customer'!$E13:$AZ13,'ARR by customer'!$E$3:$AZ$3,"&gt;="&amp;M$2,'ARR by customer'!$E$3:$AZ$3,"&lt;="&amp;M$3)</f>
        <v>305081</v>
      </c>
      <c r="N18" s="58">
        <f>+SUMIFS('ARR by customer'!$E13:$AZ13,'ARR by customer'!$E$3:$AZ$3,"&gt;="&amp;N$2,'ARR by customer'!$E$3:$AZ$3,"&lt;="&amp;N$3)</f>
        <v>414312</v>
      </c>
      <c r="O18" s="59">
        <f>+SUM(K18:N18)</f>
        <v>1506041</v>
      </c>
      <c r="P18" s="58">
        <f>+SUMIFS('ARR by customer'!$E13:$AZ13,'ARR by customer'!$E$3:$AZ$3,"&gt;="&amp;P$2,'ARR by customer'!$E$3:$AZ$3,"&lt;="&amp;P$3)</f>
        <v>870112</v>
      </c>
      <c r="Q18" s="58">
        <f>+SUMIFS('ARR by customer'!$E13:$AZ13,'ARR by customer'!$E$3:$AZ$3,"&gt;="&amp;Q$2,'ARR by customer'!$E$3:$AZ$3,"&lt;="&amp;Q$3)</f>
        <v>973760</v>
      </c>
      <c r="R18" s="58">
        <f>+SUMIFS('ARR by customer'!$E13:$AZ13,'ARR by customer'!$E$3:$AZ$3,"&gt;="&amp;R$2,'ARR by customer'!$E$3:$AZ$3,"&lt;="&amp;R$3)</f>
        <v>1416690</v>
      </c>
      <c r="S18" s="58">
        <f>+SUMIFS('ARR by customer'!$E13:$AZ13,'ARR by customer'!$E$3:$AZ$3,"&gt;="&amp;S$2,'ARR by customer'!$E$3:$AZ$3,"&lt;="&amp;S$3)</f>
        <v>1638679</v>
      </c>
      <c r="T18" s="59">
        <f>+SUM(P18:S18)</f>
        <v>4899241</v>
      </c>
      <c r="U18" s="58">
        <f>+SUMIFS('ARR by customer'!$E13:$AZ13,'ARR by customer'!$E$3:$AZ$3,"&gt;="&amp;U$2,'ARR by customer'!$E$3:$AZ$3,"&lt;="&amp;U$3)</f>
        <v>1685746</v>
      </c>
      <c r="V18" s="58">
        <f>+SUMIFS('ARR by customer'!$E13:$AZ13,'ARR by customer'!$E$3:$AZ$3,"&gt;="&amp;V$2,'ARR by customer'!$E$3:$AZ$3,"&lt;="&amp;V$3)</f>
        <v>1411543</v>
      </c>
      <c r="W18" s="60">
        <v>3263908</v>
      </c>
      <c r="X18" s="58">
        <v>3400138</v>
      </c>
      <c r="Y18" s="59">
        <f>+SUM(U18:X18)</f>
        <v>9761335</v>
      </c>
      <c r="Z18" s="58">
        <v>2898706</v>
      </c>
      <c r="AA18" s="58">
        <v>3660228</v>
      </c>
      <c r="AB18" s="58">
        <v>4047352</v>
      </c>
      <c r="AC18" s="58">
        <v>4850633</v>
      </c>
      <c r="AD18" s="59">
        <f>+SUM(Z18:AC18)</f>
        <v>15456919</v>
      </c>
      <c r="AE18" s="58">
        <v>6622843</v>
      </c>
      <c r="AF18" s="58">
        <v>8265553</v>
      </c>
      <c r="AG18" s="58">
        <v>9739505</v>
      </c>
      <c r="AH18" s="58">
        <v>11882722</v>
      </c>
      <c r="AI18" s="59">
        <f>+SUM(AE18:AH18)</f>
        <v>36510623</v>
      </c>
      <c r="AJ18" s="58">
        <v>10044177</v>
      </c>
      <c r="AK18" s="58">
        <v>11717223</v>
      </c>
      <c r="AL18" s="58">
        <v>13115471</v>
      </c>
      <c r="AM18" s="58">
        <v>15036128</v>
      </c>
      <c r="AN18" s="59">
        <f>+SUM(AJ18:AM18)</f>
        <v>49912999</v>
      </c>
      <c r="AO18" s="27"/>
      <c r="AP18" s="27"/>
      <c r="AQ18" s="27"/>
      <c r="AR18" s="27"/>
      <c r="AS18" s="27"/>
      <c r="AT18" s="27"/>
      <c r="AU18" s="27"/>
      <c r="AV18" s="27"/>
      <c r="AW18" s="27"/>
      <c r="AX18" s="27"/>
      <c r="AY18" s="27"/>
      <c r="AZ18" s="27"/>
    </row>
    <row r="19" spans="1:52" ht="15.75" customHeight="1" outlineLevel="1" x14ac:dyDescent="0.2">
      <c r="A19" s="27"/>
      <c r="B19" s="50" t="s">
        <v>472</v>
      </c>
      <c r="C19" s="50"/>
      <c r="D19" s="50"/>
      <c r="E19" s="50"/>
      <c r="F19" s="58">
        <f>+SUMIFS('ARR by customer'!$E14:$AZ14,'ARR by customer'!$E$3:$AZ$3,"&gt;="&amp;F$2,'ARR by customer'!$E$3:$AZ$3,"&lt;="&amp;F$3)</f>
        <v>1980</v>
      </c>
      <c r="G19" s="58">
        <f>+SUMIFS('ARR by customer'!$E14:$AZ14,'ARR by customer'!$E$3:$AZ$3,"&gt;="&amp;G$2,'ARR by customer'!$E$3:$AZ$3,"&lt;="&amp;G$3)</f>
        <v>840</v>
      </c>
      <c r="H19" s="58">
        <f>+SUMIFS('ARR by customer'!$E14:$AZ14,'ARR by customer'!$E$3:$AZ$3,"&gt;="&amp;H$2,'ARR by customer'!$E$3:$AZ$3,"&lt;="&amp;H$3)</f>
        <v>1620</v>
      </c>
      <c r="I19" s="58">
        <f>+SUMIFS('ARR by customer'!$E14:$AZ14,'ARR by customer'!$E$3:$AZ$3,"&gt;="&amp;I$2,'ARR by customer'!$E$3:$AZ$3,"&lt;="&amp;I$3)</f>
        <v>29100</v>
      </c>
      <c r="J19" s="59">
        <f>+SUM(F19:I19)</f>
        <v>33540</v>
      </c>
      <c r="K19" s="58">
        <f>+SUMIFS('ARR by customer'!$E14:$AZ14,'ARR by customer'!$E$3:$AZ$3,"&gt;="&amp;K$2,'ARR by customer'!$E$3:$AZ$3,"&lt;="&amp;K$3)</f>
        <v>2160</v>
      </c>
      <c r="L19" s="58">
        <f>+SUMIFS('ARR by customer'!$E14:$AZ14,'ARR by customer'!$E$3:$AZ$3,"&gt;="&amp;L$2,'ARR by customer'!$E$3:$AZ$3,"&lt;="&amp;L$3)</f>
        <v>3720.4799999999996</v>
      </c>
      <c r="M19" s="58">
        <f>+SUMIFS('ARR by customer'!$E14:$AZ14,'ARR by customer'!$E$3:$AZ$3,"&gt;="&amp;M$2,'ARR by customer'!$E$3:$AZ$3,"&lt;="&amp;M$3)</f>
        <v>67707</v>
      </c>
      <c r="N19" s="58">
        <f>+SUMIFS('ARR by customer'!$E14:$AZ14,'ARR by customer'!$E$3:$AZ$3,"&gt;="&amp;N$2,'ARR by customer'!$E$3:$AZ$3,"&lt;="&amp;N$3)</f>
        <v>72127</v>
      </c>
      <c r="O19" s="59">
        <f>+SUM(K19:N19)</f>
        <v>145714.47999999998</v>
      </c>
      <c r="P19" s="58">
        <f>+SUMIFS('ARR by customer'!$E14:$AZ14,'ARR by customer'!$E$3:$AZ$3,"&gt;="&amp;P$2,'ARR by customer'!$E$3:$AZ$3,"&lt;="&amp;P$3)</f>
        <v>99719</v>
      </c>
      <c r="Q19" s="58">
        <f>+SUMIFS('ARR by customer'!$E14:$AZ14,'ARR by customer'!$E$3:$AZ$3,"&gt;="&amp;Q$2,'ARR by customer'!$E$3:$AZ$3,"&lt;="&amp;Q$3)</f>
        <v>55364</v>
      </c>
      <c r="R19" s="58">
        <f>+SUMIFS('ARR by customer'!$E14:$AZ14,'ARR by customer'!$E$3:$AZ$3,"&gt;="&amp;R$2,'ARR by customer'!$E$3:$AZ$3,"&lt;="&amp;R$3)</f>
        <v>46411</v>
      </c>
      <c r="S19" s="58">
        <f>+SUMIFS('ARR by customer'!$E14:$AZ14,'ARR by customer'!$E$3:$AZ$3,"&gt;="&amp;S$2,'ARR by customer'!$E$3:$AZ$3,"&lt;="&amp;S$3)</f>
        <v>290837</v>
      </c>
      <c r="T19" s="59">
        <f>+SUM(P19:S19)</f>
        <v>492331</v>
      </c>
      <c r="U19" s="58">
        <f>+SUMIFS('ARR by customer'!$E14:$AZ14,'ARR by customer'!$E$3:$AZ$3,"&gt;="&amp;U$2,'ARR by customer'!$E$3:$AZ$3,"&lt;="&amp;U$3)</f>
        <v>525082</v>
      </c>
      <c r="V19" s="58">
        <f>+SUMIFS('ARR by customer'!$E14:$AZ14,'ARR by customer'!$E$3:$AZ$3,"&gt;="&amp;V$2,'ARR by customer'!$E$3:$AZ$3,"&lt;="&amp;V$3)</f>
        <v>463647</v>
      </c>
      <c r="W19" s="60">
        <v>744984</v>
      </c>
      <c r="X19" s="58">
        <v>813471</v>
      </c>
      <c r="Y19" s="59">
        <f>+SUM(U19:X19)</f>
        <v>2547184</v>
      </c>
      <c r="Z19" s="58">
        <v>934176</v>
      </c>
      <c r="AA19" s="58">
        <v>742441</v>
      </c>
      <c r="AB19" s="58">
        <v>1562795</v>
      </c>
      <c r="AC19" s="58">
        <v>1866199</v>
      </c>
      <c r="AD19" s="59">
        <f>+SUM(Z19:AC19)</f>
        <v>5105611</v>
      </c>
      <c r="AE19" s="58">
        <v>1943914</v>
      </c>
      <c r="AF19" s="58">
        <v>1951875</v>
      </c>
      <c r="AG19" s="58">
        <v>3011419</v>
      </c>
      <c r="AH19" s="58">
        <v>3601319</v>
      </c>
      <c r="AI19" s="59">
        <f>+SUM(AE19:AH19)</f>
        <v>10508527</v>
      </c>
      <c r="AJ19" s="58">
        <v>4222354</v>
      </c>
      <c r="AK19" s="58">
        <v>4724323</v>
      </c>
      <c r="AL19" s="58">
        <v>6384984</v>
      </c>
      <c r="AM19" s="58">
        <v>7706334</v>
      </c>
      <c r="AN19" s="59">
        <f>+SUM(AJ19:AM19)</f>
        <v>23037995</v>
      </c>
      <c r="AO19" s="27"/>
      <c r="AP19" s="27"/>
      <c r="AQ19" s="27"/>
      <c r="AR19" s="27"/>
      <c r="AS19" s="27"/>
      <c r="AT19" s="27"/>
      <c r="AU19" s="27"/>
      <c r="AV19" s="27"/>
      <c r="AW19" s="27"/>
      <c r="AX19" s="27"/>
      <c r="AY19" s="27"/>
      <c r="AZ19" s="27"/>
    </row>
    <row r="20" spans="1:52" ht="15.75" customHeight="1" outlineLevel="1" x14ac:dyDescent="0.2">
      <c r="A20" s="27"/>
      <c r="B20" s="50" t="s">
        <v>473</v>
      </c>
      <c r="C20" s="50"/>
      <c r="D20" s="50"/>
      <c r="E20" s="50"/>
      <c r="F20" s="58">
        <f>+SUMIFS('ARR by customer'!$E15:$AZ15,'ARR by customer'!$E$3:$AZ$3,"&gt;="&amp;F$2,'ARR by customer'!$E$3:$AZ$3,"&lt;="&amp;F$3)</f>
        <v>0</v>
      </c>
      <c r="G20" s="58">
        <f>+SUMIFS('ARR by customer'!$E15:$AZ15,'ARR by customer'!$E$3:$AZ$3,"&gt;="&amp;G$2,'ARR by customer'!$E$3:$AZ$3,"&lt;="&amp;G$3)</f>
        <v>-120</v>
      </c>
      <c r="H20" s="58">
        <f>+SUMIFS('ARR by customer'!$E15:$AZ15,'ARR by customer'!$E$3:$AZ$3,"&gt;="&amp;H$2,'ARR by customer'!$E$3:$AZ$3,"&lt;="&amp;H$3)</f>
        <v>-300</v>
      </c>
      <c r="I20" s="58">
        <f>+SUMIFS('ARR by customer'!$E15:$AZ15,'ARR by customer'!$E$3:$AZ$3,"&gt;="&amp;I$2,'ARR by customer'!$E$3:$AZ$3,"&lt;="&amp;I$3)</f>
        <v>-552</v>
      </c>
      <c r="J20" s="59">
        <f>+SUM(F20:I20)</f>
        <v>-972</v>
      </c>
      <c r="K20" s="58">
        <f>+SUMIFS('ARR by customer'!$E15:$AZ15,'ARR by customer'!$E$3:$AZ$3,"&gt;="&amp;K$2,'ARR by customer'!$E$3:$AZ$3,"&lt;="&amp;K$3)</f>
        <v>-10260</v>
      </c>
      <c r="L20" s="58">
        <f>+SUMIFS('ARR by customer'!$E15:$AZ15,'ARR by customer'!$E$3:$AZ$3,"&gt;="&amp;L$2,'ARR by customer'!$E$3:$AZ$3,"&lt;="&amp;L$3)</f>
        <v>0</v>
      </c>
      <c r="M20" s="58">
        <f>+SUMIFS('ARR by customer'!$E15:$AZ15,'ARR by customer'!$E$3:$AZ$3,"&gt;="&amp;M$2,'ARR by customer'!$E$3:$AZ$3,"&lt;="&amp;M$3)</f>
        <v>-38931</v>
      </c>
      <c r="N20" s="58">
        <f>+SUMIFS('ARR by customer'!$E15:$AZ15,'ARR by customer'!$E$3:$AZ$3,"&gt;="&amp;N$2,'ARR by customer'!$E$3:$AZ$3,"&lt;="&amp;N$3)</f>
        <v>-34029</v>
      </c>
      <c r="O20" s="59">
        <f>+SUM(K20:N20)</f>
        <v>-83220</v>
      </c>
      <c r="P20" s="58">
        <f>+SUMIFS('ARR by customer'!$E15:$AZ15,'ARR by customer'!$E$3:$AZ$3,"&gt;="&amp;P$2,'ARR by customer'!$E$3:$AZ$3,"&lt;="&amp;P$3)</f>
        <v>-75581</v>
      </c>
      <c r="Q20" s="58">
        <f>+SUMIFS('ARR by customer'!$E15:$AZ15,'ARR by customer'!$E$3:$AZ$3,"&gt;="&amp;Q$2,'ARR by customer'!$E$3:$AZ$3,"&lt;="&amp;Q$3)</f>
        <v>-531855</v>
      </c>
      <c r="R20" s="58">
        <f>+SUMIFS('ARR by customer'!$E15:$AZ15,'ARR by customer'!$E$3:$AZ$3,"&gt;="&amp;R$2,'ARR by customer'!$E$3:$AZ$3,"&lt;="&amp;R$3)</f>
        <v>-119664</v>
      </c>
      <c r="S20" s="58">
        <f>+SUMIFS('ARR by customer'!$E15:$AZ15,'ARR by customer'!$E$3:$AZ$3,"&gt;="&amp;S$2,'ARR by customer'!$E$3:$AZ$3,"&lt;="&amp;S$3)</f>
        <v>-158714</v>
      </c>
      <c r="T20" s="59">
        <f>+SUM(P20:S20)</f>
        <v>-885814</v>
      </c>
      <c r="U20" s="58">
        <f>+SUMIFS('ARR by customer'!$E15:$AZ15,'ARR by customer'!$E$3:$AZ$3,"&gt;="&amp;U$2,'ARR by customer'!$E$3:$AZ$3,"&lt;="&amp;U$3)</f>
        <v>-228379</v>
      </c>
      <c r="V20" s="58">
        <f>+SUMIFS('ARR by customer'!$E15:$AZ15,'ARR by customer'!$E$3:$AZ$3,"&gt;="&amp;V$2,'ARR by customer'!$E$3:$AZ$3,"&lt;="&amp;V$3)</f>
        <v>-453921.69999999995</v>
      </c>
      <c r="W20" s="60">
        <v>-491235</v>
      </c>
      <c r="X20" s="58">
        <v>-445576</v>
      </c>
      <c r="Y20" s="59">
        <f>+SUM(U20:X20)</f>
        <v>-1619111.7</v>
      </c>
      <c r="Z20" s="58">
        <v>-467088</v>
      </c>
      <c r="AA20" s="58">
        <v>-371220</v>
      </c>
      <c r="AB20" s="58">
        <v>-781397</v>
      </c>
      <c r="AC20" s="58">
        <v>-933100</v>
      </c>
      <c r="AD20" s="59">
        <f>+SUM(Z20:AC20)</f>
        <v>-2552805</v>
      </c>
      <c r="AE20" s="58">
        <v>-971957</v>
      </c>
      <c r="AF20" s="58">
        <v>-975938</v>
      </c>
      <c r="AG20" s="58">
        <v>-1505710</v>
      </c>
      <c r="AH20" s="58">
        <v>-1800660</v>
      </c>
      <c r="AI20" s="59">
        <f>+SUM(AE20:AH20)</f>
        <v>-5254265</v>
      </c>
      <c r="AJ20" s="58">
        <v>-2111177</v>
      </c>
      <c r="AK20" s="58">
        <v>-2362161</v>
      </c>
      <c r="AL20" s="58">
        <v>-3192492</v>
      </c>
      <c r="AM20" s="58">
        <v>-3853167</v>
      </c>
      <c r="AN20" s="59">
        <f>+SUM(AJ20:AM20)</f>
        <v>-11518997</v>
      </c>
      <c r="AO20" s="27"/>
      <c r="AP20" s="27"/>
      <c r="AQ20" s="27"/>
      <c r="AR20" s="27"/>
      <c r="AS20" s="27"/>
      <c r="AT20" s="27"/>
      <c r="AU20" s="27"/>
      <c r="AV20" s="27"/>
      <c r="AW20" s="27"/>
      <c r="AX20" s="27"/>
      <c r="AY20" s="27"/>
      <c r="AZ20" s="27"/>
    </row>
    <row r="21" spans="1:52" ht="15.75" customHeight="1" outlineLevel="1" x14ac:dyDescent="0.2">
      <c r="A21" s="27"/>
      <c r="B21" s="61" t="s">
        <v>474</v>
      </c>
      <c r="C21" s="61"/>
      <c r="D21" s="61"/>
      <c r="E21" s="61"/>
      <c r="F21" s="62">
        <f t="shared" ref="F21:AN21" si="3">+SUM(F17:F20)</f>
        <v>90492</v>
      </c>
      <c r="G21" s="62">
        <f t="shared" si="3"/>
        <v>99732</v>
      </c>
      <c r="H21" s="62">
        <f t="shared" si="3"/>
        <v>114096</v>
      </c>
      <c r="I21" s="62">
        <f t="shared" si="3"/>
        <v>255003.52000000002</v>
      </c>
      <c r="J21" s="63">
        <f t="shared" si="3"/>
        <v>255003.52000000002</v>
      </c>
      <c r="K21" s="62">
        <f t="shared" si="3"/>
        <v>490245.52</v>
      </c>
      <c r="L21" s="62">
        <f t="shared" si="3"/>
        <v>1037272</v>
      </c>
      <c r="M21" s="62">
        <f t="shared" si="3"/>
        <v>1371129</v>
      </c>
      <c r="N21" s="62">
        <f t="shared" si="3"/>
        <v>1823539</v>
      </c>
      <c r="O21" s="63">
        <f t="shared" si="3"/>
        <v>1823539</v>
      </c>
      <c r="P21" s="62">
        <f t="shared" si="3"/>
        <v>2717789</v>
      </c>
      <c r="Q21" s="62">
        <f t="shared" si="3"/>
        <v>3215058</v>
      </c>
      <c r="R21" s="62">
        <f t="shared" si="3"/>
        <v>4558495</v>
      </c>
      <c r="S21" s="62">
        <f t="shared" si="3"/>
        <v>6329297</v>
      </c>
      <c r="T21" s="63">
        <f t="shared" si="3"/>
        <v>6329297</v>
      </c>
      <c r="U21" s="62">
        <f t="shared" si="3"/>
        <v>8311746</v>
      </c>
      <c r="V21" s="62">
        <f t="shared" si="3"/>
        <v>9733014.3000000007</v>
      </c>
      <c r="W21" s="64">
        <f t="shared" si="3"/>
        <v>13250671.300000001</v>
      </c>
      <c r="X21" s="62">
        <f t="shared" si="3"/>
        <v>17018704.300000001</v>
      </c>
      <c r="Y21" s="63">
        <f t="shared" si="3"/>
        <v>17018704.300000001</v>
      </c>
      <c r="Z21" s="62">
        <f t="shared" si="3"/>
        <v>20384498.300000001</v>
      </c>
      <c r="AA21" s="62">
        <f t="shared" si="3"/>
        <v>24415947.300000001</v>
      </c>
      <c r="AB21" s="62">
        <f t="shared" si="3"/>
        <v>29244697.300000001</v>
      </c>
      <c r="AC21" s="62">
        <f t="shared" si="3"/>
        <v>35028429.299999997</v>
      </c>
      <c r="AD21" s="63">
        <f t="shared" si="3"/>
        <v>35028429.299999997</v>
      </c>
      <c r="AE21" s="62">
        <f t="shared" si="3"/>
        <v>42623229.299999997</v>
      </c>
      <c r="AF21" s="62">
        <f t="shared" si="3"/>
        <v>51864719.299999997</v>
      </c>
      <c r="AG21" s="62">
        <f t="shared" si="3"/>
        <v>63109933.299999997</v>
      </c>
      <c r="AH21" s="62">
        <f t="shared" si="3"/>
        <v>76793314.299999997</v>
      </c>
      <c r="AI21" s="63">
        <f t="shared" si="3"/>
        <v>76793314.299999997</v>
      </c>
      <c r="AJ21" s="62">
        <f t="shared" si="3"/>
        <v>88948668.299999997</v>
      </c>
      <c r="AK21" s="62">
        <f t="shared" si="3"/>
        <v>103028053.3</v>
      </c>
      <c r="AL21" s="62">
        <f t="shared" si="3"/>
        <v>119336016.3</v>
      </c>
      <c r="AM21" s="62">
        <f t="shared" si="3"/>
        <v>138225311.30000001</v>
      </c>
      <c r="AN21" s="63">
        <f t="shared" si="3"/>
        <v>138225311.30000001</v>
      </c>
      <c r="AO21" s="27"/>
      <c r="AP21" s="27"/>
      <c r="AQ21" s="27"/>
      <c r="AR21" s="27"/>
      <c r="AS21" s="27"/>
      <c r="AT21" s="27"/>
      <c r="AU21" s="27"/>
      <c r="AV21" s="27"/>
      <c r="AW21" s="27"/>
      <c r="AX21" s="27"/>
      <c r="AY21" s="27"/>
      <c r="AZ21" s="27"/>
    </row>
    <row r="22" spans="1:52" ht="15.75" customHeight="1" x14ac:dyDescent="0.2">
      <c r="A22" s="27"/>
      <c r="B22" s="61" t="s">
        <v>475</v>
      </c>
      <c r="C22" s="61"/>
      <c r="D22" s="61"/>
      <c r="E22" s="61"/>
      <c r="F22" s="62">
        <f t="shared" ref="F22:AN22" si="4">+SUM(F21)</f>
        <v>90492</v>
      </c>
      <c r="G22" s="62">
        <f t="shared" si="4"/>
        <v>99732</v>
      </c>
      <c r="H22" s="62">
        <f t="shared" si="4"/>
        <v>114096</v>
      </c>
      <c r="I22" s="62">
        <f t="shared" si="4"/>
        <v>255003.52000000002</v>
      </c>
      <c r="J22" s="63">
        <f t="shared" si="4"/>
        <v>255003.52000000002</v>
      </c>
      <c r="K22" s="62">
        <f t="shared" si="4"/>
        <v>490245.52</v>
      </c>
      <c r="L22" s="62">
        <f t="shared" si="4"/>
        <v>1037272</v>
      </c>
      <c r="M22" s="62">
        <f t="shared" si="4"/>
        <v>1371129</v>
      </c>
      <c r="N22" s="62">
        <f t="shared" si="4"/>
        <v>1823539</v>
      </c>
      <c r="O22" s="63">
        <f t="shared" si="4"/>
        <v>1823539</v>
      </c>
      <c r="P22" s="62">
        <f t="shared" si="4"/>
        <v>2717789</v>
      </c>
      <c r="Q22" s="62">
        <f t="shared" si="4"/>
        <v>3215058</v>
      </c>
      <c r="R22" s="62">
        <f t="shared" si="4"/>
        <v>4558495</v>
      </c>
      <c r="S22" s="62">
        <f t="shared" si="4"/>
        <v>6329297</v>
      </c>
      <c r="T22" s="63">
        <f t="shared" si="4"/>
        <v>6329297</v>
      </c>
      <c r="U22" s="62">
        <f t="shared" si="4"/>
        <v>8311746</v>
      </c>
      <c r="V22" s="62">
        <f t="shared" si="4"/>
        <v>9733014.3000000007</v>
      </c>
      <c r="W22" s="64">
        <f t="shared" si="4"/>
        <v>13250671.300000001</v>
      </c>
      <c r="X22" s="62">
        <f t="shared" si="4"/>
        <v>17018704.300000001</v>
      </c>
      <c r="Y22" s="63">
        <f t="shared" si="4"/>
        <v>17018704.300000001</v>
      </c>
      <c r="Z22" s="62">
        <f t="shared" si="4"/>
        <v>20384498.300000001</v>
      </c>
      <c r="AA22" s="62">
        <f t="shared" si="4"/>
        <v>24415947.300000001</v>
      </c>
      <c r="AB22" s="62">
        <f t="shared" si="4"/>
        <v>29244697.300000001</v>
      </c>
      <c r="AC22" s="62">
        <f t="shared" si="4"/>
        <v>35028429.299999997</v>
      </c>
      <c r="AD22" s="63">
        <f t="shared" si="4"/>
        <v>35028429.299999997</v>
      </c>
      <c r="AE22" s="62">
        <f t="shared" si="4"/>
        <v>42623229.299999997</v>
      </c>
      <c r="AF22" s="62">
        <f t="shared" si="4"/>
        <v>51864719.299999997</v>
      </c>
      <c r="AG22" s="62">
        <f t="shared" si="4"/>
        <v>63109933.299999997</v>
      </c>
      <c r="AH22" s="62">
        <f t="shared" si="4"/>
        <v>76793314.299999997</v>
      </c>
      <c r="AI22" s="63">
        <f t="shared" si="4"/>
        <v>76793314.299999997</v>
      </c>
      <c r="AJ22" s="62">
        <f t="shared" si="4"/>
        <v>88948668.299999997</v>
      </c>
      <c r="AK22" s="62">
        <f t="shared" si="4"/>
        <v>103028053.3</v>
      </c>
      <c r="AL22" s="62">
        <f t="shared" si="4"/>
        <v>119336016.3</v>
      </c>
      <c r="AM22" s="62">
        <f t="shared" si="4"/>
        <v>138225311.30000001</v>
      </c>
      <c r="AN22" s="63">
        <f t="shared" si="4"/>
        <v>138225311.30000001</v>
      </c>
      <c r="AO22" s="27"/>
      <c r="AP22" s="27"/>
      <c r="AQ22" s="27"/>
      <c r="AR22" s="27"/>
      <c r="AS22" s="27"/>
      <c r="AT22" s="27"/>
      <c r="AU22" s="27"/>
      <c r="AV22" s="27"/>
      <c r="AW22" s="27"/>
      <c r="AX22" s="27"/>
      <c r="AY22" s="27"/>
      <c r="AZ22" s="27"/>
    </row>
    <row r="23" spans="1:52" ht="15.75" customHeight="1" x14ac:dyDescent="0.2">
      <c r="A23" s="27"/>
      <c r="B23" s="65" t="s">
        <v>476</v>
      </c>
      <c r="C23" s="65"/>
      <c r="D23" s="65"/>
      <c r="E23" s="65"/>
      <c r="F23" s="66"/>
      <c r="G23" s="66"/>
      <c r="H23" s="66"/>
      <c r="I23" s="66"/>
      <c r="J23" s="67">
        <f>J22/F17-1</f>
        <v>1.8810050614605931</v>
      </c>
      <c r="K23" s="66"/>
      <c r="L23" s="66"/>
      <c r="M23" s="66"/>
      <c r="N23" s="66"/>
      <c r="O23" s="67">
        <f>O22/J22-1</f>
        <v>6.1510346210122897</v>
      </c>
      <c r="P23" s="66"/>
      <c r="Q23" s="66"/>
      <c r="R23" s="66"/>
      <c r="S23" s="66"/>
      <c r="T23" s="67">
        <f>T22/O22-1</f>
        <v>2.4708865563061715</v>
      </c>
      <c r="U23" s="66"/>
      <c r="V23" s="249">
        <f>SUM(R22,S22,U22,V22)/SUM(M22,N22,P22,Q22)-1</f>
        <v>2.1698170093393436</v>
      </c>
      <c r="W23" s="68"/>
      <c r="X23" s="66"/>
      <c r="Y23" s="67">
        <f>Y22/T22-1</f>
        <v>1.6888775009294084</v>
      </c>
      <c r="Z23" s="66"/>
      <c r="AA23" s="66"/>
      <c r="AB23" s="66"/>
      <c r="AC23" s="66"/>
      <c r="AD23" s="67">
        <f>AD22/Y22-1</f>
        <v>1.0582312661722431</v>
      </c>
      <c r="AE23" s="66"/>
      <c r="AF23" s="66"/>
      <c r="AG23" s="66"/>
      <c r="AH23" s="66"/>
      <c r="AI23" s="67">
        <f>AI22/AD22-1</f>
        <v>1.1923139528268831</v>
      </c>
      <c r="AJ23" s="66"/>
      <c r="AK23" s="66"/>
      <c r="AL23" s="66"/>
      <c r="AM23" s="66"/>
      <c r="AN23" s="67">
        <f>AN22/AI22-1</f>
        <v>0.79996543397007702</v>
      </c>
      <c r="AO23" s="27"/>
      <c r="AP23" s="27"/>
      <c r="AQ23" s="27"/>
      <c r="AR23" s="27"/>
      <c r="AS23" s="27"/>
      <c r="AT23" s="27"/>
      <c r="AU23" s="27"/>
      <c r="AV23" s="27"/>
      <c r="AW23" s="27"/>
      <c r="AX23" s="27"/>
      <c r="AY23" s="27"/>
      <c r="AZ23" s="27"/>
    </row>
    <row r="24" spans="1:52" ht="15.75" customHeight="1" x14ac:dyDescent="0.2">
      <c r="A24" s="27"/>
      <c r="B24" s="50"/>
      <c r="C24" s="50"/>
      <c r="D24" s="50"/>
      <c r="E24" s="50"/>
      <c r="F24" s="50"/>
      <c r="G24" s="50"/>
      <c r="H24" s="50"/>
      <c r="I24" s="50"/>
      <c r="J24" s="51"/>
      <c r="K24" s="50"/>
      <c r="L24" s="50"/>
      <c r="M24" s="50"/>
      <c r="N24" s="50"/>
      <c r="O24" s="51"/>
      <c r="P24" s="50"/>
      <c r="Q24" s="50"/>
      <c r="R24" s="50"/>
      <c r="S24" s="50"/>
      <c r="T24" s="51"/>
      <c r="U24" s="50"/>
      <c r="V24" s="50"/>
      <c r="W24" s="52"/>
      <c r="X24" s="50"/>
      <c r="Y24" s="51"/>
      <c r="Z24" s="50"/>
      <c r="AA24" s="50"/>
      <c r="AB24" s="50"/>
      <c r="AC24" s="50"/>
      <c r="AD24" s="51"/>
      <c r="AE24" s="50"/>
      <c r="AF24" s="50"/>
      <c r="AG24" s="50"/>
      <c r="AH24" s="50"/>
      <c r="AI24" s="51"/>
      <c r="AJ24" s="50"/>
      <c r="AK24" s="50"/>
      <c r="AL24" s="50"/>
      <c r="AM24" s="50"/>
      <c r="AN24" s="51"/>
      <c r="AO24" s="27"/>
      <c r="AP24" s="27"/>
      <c r="AQ24" s="27"/>
      <c r="AR24" s="27"/>
      <c r="AS24" s="27"/>
      <c r="AT24" s="27"/>
      <c r="AU24" s="27"/>
      <c r="AV24" s="27"/>
      <c r="AW24" s="27"/>
      <c r="AX24" s="27"/>
      <c r="AY24" s="27"/>
      <c r="AZ24" s="27"/>
    </row>
    <row r="25" spans="1:52" ht="15.75" customHeight="1" x14ac:dyDescent="0.2">
      <c r="A25" s="27"/>
      <c r="B25" s="53" t="s">
        <v>477</v>
      </c>
      <c r="C25" s="53"/>
      <c r="D25" s="53"/>
      <c r="E25" s="53"/>
      <c r="F25" s="54"/>
      <c r="G25" s="54"/>
      <c r="H25" s="54"/>
      <c r="I25" s="54"/>
      <c r="J25" s="55"/>
      <c r="K25" s="54"/>
      <c r="L25" s="54"/>
      <c r="M25" s="54"/>
      <c r="N25" s="54"/>
      <c r="O25" s="55"/>
      <c r="P25" s="54"/>
      <c r="Q25" s="54"/>
      <c r="R25" s="54"/>
      <c r="S25" s="54"/>
      <c r="T25" s="55"/>
      <c r="U25" s="54"/>
      <c r="V25" s="54"/>
      <c r="W25" s="56"/>
      <c r="X25" s="54"/>
      <c r="Y25" s="55"/>
      <c r="Z25" s="54"/>
      <c r="AA25" s="54"/>
      <c r="AB25" s="54"/>
      <c r="AC25" s="54"/>
      <c r="AD25" s="55"/>
      <c r="AE25" s="54"/>
      <c r="AF25" s="54"/>
      <c r="AG25" s="54"/>
      <c r="AH25" s="54"/>
      <c r="AI25" s="55"/>
      <c r="AJ25" s="54"/>
      <c r="AK25" s="54"/>
      <c r="AL25" s="54"/>
      <c r="AM25" s="54"/>
      <c r="AN25" s="55"/>
      <c r="AO25" s="27"/>
      <c r="AP25" s="27"/>
      <c r="AQ25" s="27"/>
      <c r="AR25" s="27"/>
      <c r="AS25" s="27"/>
      <c r="AT25" s="27"/>
      <c r="AU25" s="27"/>
      <c r="AV25" s="27"/>
      <c r="AW25" s="27"/>
      <c r="AX25" s="27"/>
      <c r="AY25" s="27"/>
      <c r="AZ25" s="27"/>
    </row>
    <row r="26" spans="1:52" ht="15.75" customHeight="1" outlineLevel="1" x14ac:dyDescent="0.2">
      <c r="A26" s="27"/>
      <c r="B26" s="69" t="s">
        <v>477</v>
      </c>
      <c r="C26" s="69"/>
      <c r="D26" s="69"/>
      <c r="E26" s="69"/>
      <c r="F26" s="70">
        <f>+SUMIFS('ARR by customer'!$E25:$AZ25,'ARR by customer'!$E$3:$AZ$3,"="&amp;F$3)</f>
        <v>4</v>
      </c>
      <c r="G26" s="70">
        <f>+SUMIFS('ARR by customer'!$E25:$AZ25,'ARR by customer'!$E$3:$AZ$3,"="&amp;G$3)</f>
        <v>5</v>
      </c>
      <c r="H26" s="70">
        <f>+SUMIFS('ARR by customer'!$E25:$AZ25,'ARR by customer'!$E$3:$AZ$3,"="&amp;H$3)</f>
        <v>7</v>
      </c>
      <c r="I26" s="70">
        <f>+SUMIFS('ARR by customer'!$E25:$AZ25,'ARR by customer'!$E$3:$AZ$3,"="&amp;I$3)</f>
        <v>16</v>
      </c>
      <c r="J26" s="71">
        <f>+I26</f>
        <v>16</v>
      </c>
      <c r="K26" s="70">
        <f>+SUMIFS('ARR by customer'!$E25:$AZ25,'ARR by customer'!$E$3:$AZ$3,"="&amp;K$3)</f>
        <v>32</v>
      </c>
      <c r="L26" s="70">
        <f>+SUMIFS('ARR by customer'!$E25:$AZ25,'ARR by customer'!$E$3:$AZ$3,"="&amp;L$3)</f>
        <v>45</v>
      </c>
      <c r="M26" s="70">
        <f>+SUMIFS('ARR by customer'!$E25:$AZ25,'ARR by customer'!$E$3:$AZ$3,"="&amp;M$3)</f>
        <v>57</v>
      </c>
      <c r="N26" s="70">
        <f>+SUMIFS('ARR by customer'!$E25:$AZ25,'ARR by customer'!$E$3:$AZ$3,"="&amp;N$3)</f>
        <v>76</v>
      </c>
      <c r="O26" s="71">
        <f>+N26</f>
        <v>76</v>
      </c>
      <c r="P26" s="70">
        <f>+SUMIFS('ARR by customer'!$E25:$AZ25,'ARR by customer'!$E$3:$AZ$3,"="&amp;P$3)</f>
        <v>116</v>
      </c>
      <c r="Q26" s="70">
        <f>+SUMIFS('ARR by customer'!$E25:$AZ25,'ARR by customer'!$E$3:$AZ$3,"="&amp;Q$3)</f>
        <v>159</v>
      </c>
      <c r="R26" s="70">
        <f>+SUMIFS('ARR by customer'!$E25:$AZ25,'ARR by customer'!$E$3:$AZ$3,"="&amp;R$3)</f>
        <v>216</v>
      </c>
      <c r="S26" s="70">
        <f>+SUMIFS('ARR by customer'!$E25:$AZ25,'ARR by customer'!$E$3:$AZ$3,"="&amp;S$3)</f>
        <v>289</v>
      </c>
      <c r="T26" s="71">
        <f>+S26</f>
        <v>289</v>
      </c>
      <c r="U26" s="70">
        <f>+SUMIFS('ARR by customer'!$E25:$AZ25,'ARR by customer'!$E$3:$AZ$3,"="&amp;U$3)</f>
        <v>345</v>
      </c>
      <c r="V26" s="72">
        <f>+SUMIFS('ARR by customer'!$E25:$AZ25,'ARR by customer'!$E$3:$AZ$3,"="&amp;V$3)</f>
        <v>369</v>
      </c>
      <c r="W26" s="73">
        <v>439</v>
      </c>
      <c r="X26" s="70">
        <v>514</v>
      </c>
      <c r="Y26" s="71">
        <f>+X26</f>
        <v>514</v>
      </c>
      <c r="Z26" s="70">
        <v>576</v>
      </c>
      <c r="AA26" s="70">
        <v>660</v>
      </c>
      <c r="AB26" s="70">
        <v>744</v>
      </c>
      <c r="AC26" s="70">
        <v>846</v>
      </c>
      <c r="AD26" s="71">
        <f>+AC26</f>
        <v>846</v>
      </c>
      <c r="AE26" s="70">
        <v>992</v>
      </c>
      <c r="AF26" s="70">
        <v>1180</v>
      </c>
      <c r="AG26" s="70">
        <v>1394</v>
      </c>
      <c r="AH26" s="70">
        <v>1655</v>
      </c>
      <c r="AI26" s="71">
        <f>+AH26</f>
        <v>1655</v>
      </c>
      <c r="AJ26" s="70">
        <v>1864</v>
      </c>
      <c r="AK26" s="70">
        <v>2109</v>
      </c>
      <c r="AL26" s="70">
        <v>2372</v>
      </c>
      <c r="AM26" s="70">
        <v>2671</v>
      </c>
      <c r="AN26" s="71">
        <f>+AM26</f>
        <v>2671</v>
      </c>
      <c r="AO26" s="27"/>
      <c r="AP26" s="27"/>
      <c r="AQ26" s="27"/>
      <c r="AR26" s="27"/>
      <c r="AS26" s="27"/>
      <c r="AT26" s="27"/>
      <c r="AU26" s="27"/>
      <c r="AV26" s="27"/>
      <c r="AW26" s="27"/>
      <c r="AX26" s="27"/>
      <c r="AY26" s="27"/>
      <c r="AZ26" s="27"/>
    </row>
    <row r="27" spans="1:52" ht="15.75" customHeight="1" outlineLevel="1" x14ac:dyDescent="0.2">
      <c r="A27" s="27"/>
      <c r="B27" s="69" t="s">
        <v>478</v>
      </c>
      <c r="C27" s="69"/>
      <c r="D27" s="69"/>
      <c r="E27" s="69"/>
      <c r="F27" s="70">
        <f>+SUMIFS('ARR by customer'!$E23:$AZ23,'ARR by customer'!$E$3:$AZ$3,"&gt;="&amp;F$2,'ARR by customer'!$E$3:$AZ$3,"&lt;="&amp;F$3)</f>
        <v>0</v>
      </c>
      <c r="G27" s="70">
        <f>+SUMIFS('ARR by customer'!$E23:$AZ23,'ARR by customer'!$E$3:$AZ$3,"&gt;="&amp;G$2,'ARR by customer'!$E$3:$AZ$3,"&lt;="&amp;G$3)</f>
        <v>1</v>
      </c>
      <c r="H27" s="70">
        <f>+SUMIFS('ARR by customer'!$E23:$AZ23,'ARR by customer'!$E$3:$AZ$3,"&gt;="&amp;H$2,'ARR by customer'!$E$3:$AZ$3,"&lt;="&amp;H$3)</f>
        <v>2</v>
      </c>
      <c r="I27" s="70">
        <f>+SUMIFS('ARR by customer'!$E23:$AZ23,'ARR by customer'!$E$3:$AZ$3,"&gt;="&amp;I$2,'ARR by customer'!$E$3:$AZ$3,"&lt;="&amp;I$3)</f>
        <v>9</v>
      </c>
      <c r="J27" s="71">
        <f>+SUM(F27:I27)</f>
        <v>12</v>
      </c>
      <c r="K27" s="70">
        <f>+SUMIFS('ARR by customer'!$E23:$AZ23,'ARR by customer'!$E$3:$AZ$3,"&gt;="&amp;K$2,'ARR by customer'!$E$3:$AZ$3,"&lt;="&amp;K$3)</f>
        <v>17</v>
      </c>
      <c r="L27" s="70">
        <f>+SUMIFS('ARR by customer'!$E23:$AZ23,'ARR by customer'!$E$3:$AZ$3,"&gt;="&amp;L$2,'ARR by customer'!$E$3:$AZ$3,"&lt;="&amp;L$3)</f>
        <v>13</v>
      </c>
      <c r="M27" s="70">
        <f>+SUMIFS('ARR by customer'!$E23:$AZ23,'ARR by customer'!$E$3:$AZ$3,"&gt;="&amp;M$2,'ARR by customer'!$E$3:$AZ$3,"&lt;="&amp;M$3)</f>
        <v>14</v>
      </c>
      <c r="N27" s="70">
        <f>+SUMIFS('ARR by customer'!$E23:$AZ23,'ARR by customer'!$E$3:$AZ$3,"&gt;="&amp;N$2,'ARR by customer'!$E$3:$AZ$3,"&lt;="&amp;N$3)</f>
        <v>22</v>
      </c>
      <c r="O27" s="71">
        <f>+SUM(K27:N27)</f>
        <v>66</v>
      </c>
      <c r="P27" s="70">
        <f>+SUMIFS('ARR by customer'!$E23:$AZ23,'ARR by customer'!$E$3:$AZ$3,"&gt;="&amp;P$2,'ARR by customer'!$E$3:$AZ$3,"&lt;="&amp;P$3)</f>
        <v>42</v>
      </c>
      <c r="Q27" s="70">
        <f>+SUMIFS('ARR by customer'!$E23:$AZ23,'ARR by customer'!$E$3:$AZ$3,"&gt;="&amp;Q$2,'ARR by customer'!$E$3:$AZ$3,"&lt;="&amp;Q$3)</f>
        <v>50</v>
      </c>
      <c r="R27" s="70">
        <f>+SUMIFS('ARR by customer'!$E23:$AZ23,'ARR by customer'!$E$3:$AZ$3,"&gt;="&amp;R$2,'ARR by customer'!$E$3:$AZ$3,"&lt;="&amp;R$3)</f>
        <v>60</v>
      </c>
      <c r="S27" s="70">
        <f>+SUMIFS('ARR by customer'!$E23:$AZ23,'ARR by customer'!$E$3:$AZ$3,"&gt;="&amp;S$2,'ARR by customer'!$E$3:$AZ$3,"&lt;="&amp;S$3)</f>
        <v>82</v>
      </c>
      <c r="T27" s="71">
        <f>+SUM(P27:S27)</f>
        <v>234</v>
      </c>
      <c r="U27" s="70">
        <f>+SUMIFS('ARR by customer'!$E23:$AZ23,'ARR by customer'!$E$3:$AZ$3,"&gt;="&amp;U$2,'ARR by customer'!$E$3:$AZ$3,"&lt;="&amp;U$3)</f>
        <v>69</v>
      </c>
      <c r="V27" s="72">
        <f>+SUMIFS('ARR by customer'!$E23:$AZ23,'ARR by customer'!$E$3:$AZ$3,"&gt;="&amp;V$2,'ARR by customer'!$E$3:$AZ$3,"&lt;="&amp;V$3)</f>
        <v>45</v>
      </c>
      <c r="W27" s="73">
        <v>89</v>
      </c>
      <c r="X27" s="70">
        <v>91</v>
      </c>
      <c r="Y27" s="71">
        <f>+SUM(U27:X27)</f>
        <v>294</v>
      </c>
      <c r="Z27" s="70">
        <v>77</v>
      </c>
      <c r="AA27" s="70">
        <v>96</v>
      </c>
      <c r="AB27" s="70">
        <v>106</v>
      </c>
      <c r="AC27" s="70">
        <v>127</v>
      </c>
      <c r="AD27" s="71">
        <f>+SUM(Z27:AC27)</f>
        <v>406</v>
      </c>
      <c r="AE27" s="70">
        <v>171</v>
      </c>
      <c r="AF27" s="70">
        <v>212</v>
      </c>
      <c r="AG27" s="70">
        <v>249</v>
      </c>
      <c r="AH27" s="70">
        <v>302</v>
      </c>
      <c r="AI27" s="71">
        <f>+SUM(AE27:AH27)</f>
        <v>934</v>
      </c>
      <c r="AJ27" s="70">
        <v>255</v>
      </c>
      <c r="AK27" s="70">
        <v>296</v>
      </c>
      <c r="AL27" s="70">
        <v>329</v>
      </c>
      <c r="AM27" s="70">
        <v>376</v>
      </c>
      <c r="AN27" s="71">
        <f>+SUM(AJ27:AM27)</f>
        <v>1256</v>
      </c>
      <c r="AO27" s="27"/>
      <c r="AP27" s="27"/>
      <c r="AQ27" s="27"/>
      <c r="AR27" s="27"/>
      <c r="AS27" s="27"/>
      <c r="AT27" s="27"/>
      <c r="AU27" s="27"/>
      <c r="AV27" s="27"/>
      <c r="AW27" s="27"/>
      <c r="AX27" s="27"/>
      <c r="AY27" s="27"/>
      <c r="AZ27" s="27"/>
    </row>
    <row r="28" spans="1:52" ht="15.75" customHeight="1" outlineLevel="1" x14ac:dyDescent="0.2">
      <c r="A28" s="27"/>
      <c r="B28" s="69" t="s">
        <v>479</v>
      </c>
      <c r="C28" s="69"/>
      <c r="D28" s="69"/>
      <c r="E28" s="69"/>
      <c r="F28" s="74">
        <f t="shared" ref="F28:AN28" si="5">+F22/F26</f>
        <v>22623</v>
      </c>
      <c r="G28" s="74">
        <f t="shared" si="5"/>
        <v>19946.400000000001</v>
      </c>
      <c r="H28" s="74">
        <f t="shared" si="5"/>
        <v>16299.428571428571</v>
      </c>
      <c r="I28" s="74">
        <f t="shared" si="5"/>
        <v>15937.720000000001</v>
      </c>
      <c r="J28" s="75">
        <f t="shared" si="5"/>
        <v>15937.720000000001</v>
      </c>
      <c r="K28" s="74">
        <f t="shared" si="5"/>
        <v>15320.172500000001</v>
      </c>
      <c r="L28" s="74">
        <f t="shared" si="5"/>
        <v>23050.488888888889</v>
      </c>
      <c r="M28" s="74">
        <f t="shared" si="5"/>
        <v>24054.894736842107</v>
      </c>
      <c r="N28" s="74">
        <f t="shared" si="5"/>
        <v>23993.934210526317</v>
      </c>
      <c r="O28" s="75">
        <f t="shared" si="5"/>
        <v>23993.934210526317</v>
      </c>
      <c r="P28" s="74">
        <f t="shared" si="5"/>
        <v>23429.21551724138</v>
      </c>
      <c r="Q28" s="74">
        <f t="shared" si="5"/>
        <v>20220.490566037737</v>
      </c>
      <c r="R28" s="74">
        <f t="shared" si="5"/>
        <v>21104.143518518518</v>
      </c>
      <c r="S28" s="74">
        <f t="shared" si="5"/>
        <v>21900.681660899652</v>
      </c>
      <c r="T28" s="75">
        <f t="shared" si="5"/>
        <v>21900.681660899652</v>
      </c>
      <c r="U28" s="74">
        <f t="shared" si="5"/>
        <v>24092.017391304347</v>
      </c>
      <c r="V28" s="74">
        <f t="shared" si="5"/>
        <v>26376.732520325204</v>
      </c>
      <c r="W28" s="76">
        <f t="shared" si="5"/>
        <v>30183.761503416859</v>
      </c>
      <c r="X28" s="74">
        <f t="shared" si="5"/>
        <v>33110.319649805446</v>
      </c>
      <c r="Y28" s="75">
        <f t="shared" si="5"/>
        <v>33110.319649805446</v>
      </c>
      <c r="Z28" s="74">
        <f t="shared" si="5"/>
        <v>35389.753993055558</v>
      </c>
      <c r="AA28" s="74">
        <f t="shared" si="5"/>
        <v>36993.859545454543</v>
      </c>
      <c r="AB28" s="74">
        <f t="shared" si="5"/>
        <v>39307.388844086025</v>
      </c>
      <c r="AC28" s="74">
        <f t="shared" si="5"/>
        <v>41404.762765957443</v>
      </c>
      <c r="AD28" s="75">
        <f t="shared" si="5"/>
        <v>41404.762765957443</v>
      </c>
      <c r="AE28" s="74">
        <f t="shared" si="5"/>
        <v>42966.965020161289</v>
      </c>
      <c r="AF28" s="74">
        <f t="shared" si="5"/>
        <v>43953.15194915254</v>
      </c>
      <c r="AG28" s="74">
        <f t="shared" si="5"/>
        <v>45272.548995695834</v>
      </c>
      <c r="AH28" s="74">
        <f t="shared" si="5"/>
        <v>46400.794138972808</v>
      </c>
      <c r="AI28" s="75">
        <f t="shared" si="5"/>
        <v>46400.794138972808</v>
      </c>
      <c r="AJ28" s="74">
        <f t="shared" si="5"/>
        <v>47719.24265021459</v>
      </c>
      <c r="AK28" s="74">
        <f t="shared" si="5"/>
        <v>48851.613703176859</v>
      </c>
      <c r="AL28" s="74">
        <f t="shared" si="5"/>
        <v>50310.293549747046</v>
      </c>
      <c r="AM28" s="74">
        <f t="shared" si="5"/>
        <v>51750.397341819546</v>
      </c>
      <c r="AN28" s="75">
        <f t="shared" si="5"/>
        <v>51750.397341819546</v>
      </c>
      <c r="AO28" s="27"/>
      <c r="AP28" s="27"/>
      <c r="AQ28" s="27"/>
      <c r="AR28" s="27"/>
      <c r="AS28" s="27"/>
      <c r="AT28" s="27"/>
      <c r="AU28" s="27"/>
      <c r="AV28" s="27"/>
      <c r="AW28" s="27"/>
      <c r="AX28" s="27"/>
      <c r="AY28" s="27"/>
      <c r="AZ28" s="27"/>
    </row>
    <row r="29" spans="1:52" ht="15.75" customHeight="1" x14ac:dyDescent="0.2">
      <c r="A29" s="27"/>
      <c r="B29" s="69"/>
      <c r="C29" s="69"/>
      <c r="D29" s="69"/>
      <c r="E29" s="69"/>
      <c r="F29" s="74"/>
      <c r="G29" s="74"/>
      <c r="H29" s="74"/>
      <c r="I29" s="74"/>
      <c r="J29" s="75"/>
      <c r="K29" s="74"/>
      <c r="L29" s="74"/>
      <c r="M29" s="74"/>
      <c r="N29" s="74"/>
      <c r="O29" s="75"/>
      <c r="P29" s="74"/>
      <c r="Q29" s="74"/>
      <c r="R29" s="74"/>
      <c r="S29" s="74"/>
      <c r="T29" s="75"/>
      <c r="U29" s="74"/>
      <c r="V29" s="74"/>
      <c r="W29" s="76"/>
      <c r="X29" s="74"/>
      <c r="Y29" s="75"/>
      <c r="Z29" s="74"/>
      <c r="AA29" s="74"/>
      <c r="AB29" s="74"/>
      <c r="AC29" s="74"/>
      <c r="AD29" s="75"/>
      <c r="AE29" s="74"/>
      <c r="AF29" s="74"/>
      <c r="AG29" s="74"/>
      <c r="AH29" s="74"/>
      <c r="AI29" s="75"/>
      <c r="AJ29" s="74"/>
      <c r="AK29" s="74"/>
      <c r="AL29" s="74"/>
      <c r="AM29" s="74"/>
      <c r="AN29" s="75"/>
      <c r="AO29" s="27"/>
      <c r="AP29" s="27"/>
      <c r="AQ29" s="27"/>
      <c r="AR29" s="27"/>
      <c r="AS29" s="27"/>
      <c r="AT29" s="27"/>
      <c r="AU29" s="27"/>
      <c r="AV29" s="27"/>
      <c r="AW29" s="27"/>
      <c r="AX29" s="27"/>
      <c r="AY29" s="27"/>
      <c r="AZ29" s="27"/>
    </row>
    <row r="30" spans="1:52" ht="15.75" customHeight="1" x14ac:dyDescent="0.2">
      <c r="A30" s="27"/>
      <c r="B30" s="53" t="s">
        <v>480</v>
      </c>
      <c r="C30" s="53"/>
      <c r="D30" s="53"/>
      <c r="E30" s="53"/>
      <c r="F30" s="54"/>
      <c r="G30" s="54"/>
      <c r="H30" s="54"/>
      <c r="I30" s="54"/>
      <c r="J30" s="55"/>
      <c r="K30" s="54"/>
      <c r="L30" s="54"/>
      <c r="M30" s="54"/>
      <c r="N30" s="54"/>
      <c r="O30" s="55"/>
      <c r="P30" s="54"/>
      <c r="Q30" s="54"/>
      <c r="R30" s="54"/>
      <c r="S30" s="54"/>
      <c r="T30" s="55"/>
      <c r="U30" s="54"/>
      <c r="V30" s="54"/>
      <c r="W30" s="56"/>
      <c r="X30" s="54"/>
      <c r="Y30" s="55"/>
      <c r="Z30" s="54"/>
      <c r="AA30" s="54"/>
      <c r="AB30" s="54"/>
      <c r="AC30" s="54"/>
      <c r="AD30" s="55"/>
      <c r="AE30" s="54"/>
      <c r="AF30" s="54"/>
      <c r="AG30" s="54"/>
      <c r="AH30" s="54"/>
      <c r="AI30" s="55"/>
      <c r="AJ30" s="54"/>
      <c r="AK30" s="54"/>
      <c r="AL30" s="54"/>
      <c r="AM30" s="54"/>
      <c r="AN30" s="55"/>
      <c r="AO30" s="27"/>
      <c r="AP30" s="27"/>
      <c r="AQ30" s="27"/>
      <c r="AR30" s="27"/>
      <c r="AS30" s="27"/>
      <c r="AT30" s="27"/>
      <c r="AU30" s="27"/>
      <c r="AV30" s="27"/>
      <c r="AW30" s="27"/>
      <c r="AX30" s="27"/>
      <c r="AY30" s="27"/>
      <c r="AZ30" s="27"/>
    </row>
    <row r="31" spans="1:52" ht="15.75" customHeight="1" outlineLevel="1" x14ac:dyDescent="0.2">
      <c r="A31" s="27"/>
      <c r="B31" s="77" t="s">
        <v>481</v>
      </c>
      <c r="C31" s="77"/>
      <c r="D31" s="77"/>
      <c r="E31" s="77"/>
      <c r="F31" s="207"/>
      <c r="G31" s="207"/>
      <c r="H31" s="207"/>
      <c r="I31" s="208">
        <f>1+SUM(F20:I20)/F17</f>
        <v>0.98901843817787416</v>
      </c>
      <c r="J31" s="212">
        <f>I31</f>
        <v>0.98901843817787416</v>
      </c>
      <c r="K31" s="208">
        <f>1+SUM(G20:I20,K20)/G17</f>
        <v>0.87587853069884636</v>
      </c>
      <c r="L31" s="208"/>
      <c r="M31" s="208">
        <f>1+SUM(I20,K20:M20)/I17</f>
        <v>0.56402503155237693</v>
      </c>
      <c r="N31" s="208">
        <f>1+SUM(K20:N20)/K17</f>
        <v>0.67365156371174795</v>
      </c>
      <c r="O31" s="212">
        <f>+N31</f>
        <v>0.67365156371174795</v>
      </c>
      <c r="P31" s="208">
        <f>1+SUM(L20:N20,P20)/L17</f>
        <v>0.69700692012443066</v>
      </c>
      <c r="Q31" s="208">
        <f>1+SUM(M20:N20,P20:Q20)/M17</f>
        <v>0.34405247611041267</v>
      </c>
      <c r="R31" s="208">
        <f>1+SUM(N20,P20:R20)/N17</f>
        <v>0.4448888470741994</v>
      </c>
      <c r="S31" s="208">
        <f>1+SUM(P20:S20)/P17</f>
        <v>0.51423358644920669</v>
      </c>
      <c r="T31" s="212">
        <f>+S31</f>
        <v>0.51423358644920669</v>
      </c>
      <c r="U31" s="208">
        <f>1+SUM(Q20:S20,U20)/Q17</f>
        <v>0.61784671289787396</v>
      </c>
      <c r="V31" s="208">
        <f>1+SUM(R20:S20,U20:V20)/R17</f>
        <v>0.70119397534974492</v>
      </c>
      <c r="W31" s="208">
        <f>1+SUM(S20,U20:W20)/S17</f>
        <v>0.70774352061371126</v>
      </c>
      <c r="X31" s="208">
        <f>1+SUM(U20:X20)/U17</f>
        <v>0.74418775102511381</v>
      </c>
      <c r="Y31" s="212">
        <f>+X31</f>
        <v>0.74418775102511381</v>
      </c>
      <c r="Z31" s="208">
        <f>1+SUM(V20:X20,Z20)/V17</f>
        <v>0.77648249838240968</v>
      </c>
      <c r="AA31" s="208">
        <f>1+SUM(W20:X20,Z20:AA20)/W17</f>
        <v>0.81761878229234697</v>
      </c>
      <c r="AB31" s="208">
        <f>1+SUM(X20,Z20:AB20)/X17</f>
        <v>0.84413763248357088</v>
      </c>
      <c r="AC31" s="208">
        <f>1+SUM(Z20:AC20)/Z17</f>
        <v>0.85000003789947742</v>
      </c>
      <c r="AD31" s="212">
        <f>+AC31</f>
        <v>0.85000003789947742</v>
      </c>
      <c r="AE31" s="208">
        <f>1+SUM(AA20:AC20,AE20)/AA17</f>
        <v>0.85000003654737977</v>
      </c>
      <c r="AF31" s="208">
        <f>1+SUM(AB20:AC20,AE20:AF20)/AB17</f>
        <v>0.85000000389089958</v>
      </c>
      <c r="AG31" s="208">
        <f>1+SUM(AC20,AE20:AG20)/AC17</f>
        <v>0.84999998615133554</v>
      </c>
      <c r="AH31" s="208">
        <f>1+SUM(AE20:AH20)/AE17</f>
        <v>0.8499999827283149</v>
      </c>
      <c r="AI31" s="212">
        <f>+AH31</f>
        <v>0.8499999827283149</v>
      </c>
      <c r="AJ31" s="208">
        <f>1+SUM(AF20:AH20,AJ20)/AF17</f>
        <v>0.849999985805862</v>
      </c>
      <c r="AK31" s="208">
        <f>1+SUM(AG20:AH20,AJ20:AK20)/AG17</f>
        <v>0.84999999797550241</v>
      </c>
      <c r="AL31" s="208">
        <f>1+SUM(AH20,AJ20:AL20)/AH17</f>
        <v>0.84999999992077313</v>
      </c>
      <c r="AM31" s="208">
        <f>1+SUM(AJ20:AM20)/AJ17</f>
        <v>0.85000000188818525</v>
      </c>
      <c r="AN31" s="212">
        <f>+AM31</f>
        <v>0.85000000188818525</v>
      </c>
      <c r="AO31" s="27"/>
      <c r="AP31" s="27"/>
      <c r="AQ31" s="27"/>
      <c r="AR31" s="27"/>
      <c r="AS31" s="27"/>
      <c r="AT31" s="27"/>
      <c r="AU31" s="27"/>
      <c r="AV31" s="27"/>
      <c r="AW31" s="27"/>
      <c r="AX31" s="27"/>
      <c r="AY31" s="27"/>
      <c r="AZ31" s="27"/>
    </row>
    <row r="32" spans="1:52" ht="15.75" customHeight="1" outlineLevel="1" x14ac:dyDescent="0.2">
      <c r="A32" s="27"/>
      <c r="B32" s="77" t="s">
        <v>482</v>
      </c>
      <c r="C32" s="77"/>
      <c r="D32" s="77"/>
      <c r="E32" s="77"/>
      <c r="F32" s="207"/>
      <c r="G32" s="207"/>
      <c r="H32" s="207"/>
      <c r="I32" s="208">
        <f>1+SUM(F19:I20)/F17</f>
        <v>1.36795010845987</v>
      </c>
      <c r="J32" s="212">
        <f>I32</f>
        <v>1.36795010845987</v>
      </c>
      <c r="K32" s="208">
        <f>1+SUM(G19:I20,K19:K20)/G17</f>
        <v>1.2485081554170534</v>
      </c>
      <c r="L32" s="208">
        <f>1+SUM(H19:I20,K19:L20)/H17</f>
        <v>1.2555697268680062</v>
      </c>
      <c r="M32" s="208">
        <f>1+SUM(I19:I20,K19:M20)/I17</f>
        <v>1.4640344972654606</v>
      </c>
      <c r="N32" s="208">
        <f>1+SUM(K19:N20)/K17</f>
        <v>1.2450730091882654</v>
      </c>
      <c r="O32" s="212">
        <f>+N32</f>
        <v>1.2450730091882654</v>
      </c>
      <c r="P32" s="208">
        <f>1+SUM(L19:N20,P19:P20)/L17</f>
        <v>1.1932347693865717</v>
      </c>
      <c r="Q32" s="208">
        <f>1+SUM(M19:N20,P19:Q20)/M17</f>
        <v>0.62837230736007532</v>
      </c>
      <c r="R32" s="208">
        <f>1+SUM(N19:N20,P19:R20)/N17</f>
        <v>0.64444775072221505</v>
      </c>
      <c r="S32" s="208">
        <f>1+SUM(P19:S20)/P17</f>
        <v>0.78422013458445361</v>
      </c>
      <c r="T32" s="212">
        <f>+S32</f>
        <v>0.78422013458445361</v>
      </c>
      <c r="U32" s="208">
        <f>1+SUM(Q19:S20,U19:U20)/Q17</f>
        <v>0.95550868739258277</v>
      </c>
      <c r="V32" s="208">
        <f>1+SUM(R19:S20,U19:V20)/R17</f>
        <v>1.1136210606464954</v>
      </c>
      <c r="W32" s="208">
        <f>1+SUM(S19:S20,U19:W20)/S17</f>
        <v>1.1518703651095372</v>
      </c>
      <c r="X32" s="208">
        <f>1+SUM(U19:X20)/U17</f>
        <v>1.146631181946431</v>
      </c>
      <c r="Y32" s="212">
        <f>+X32</f>
        <v>1.146631181946431</v>
      </c>
      <c r="Z32" s="208">
        <f>1+SUM(V19:X20,Z19:Z20)/V17</f>
        <v>1.1321572266524988</v>
      </c>
      <c r="AA32" s="208">
        <f>1+SUM(W19:X20,Z19:AA20)/W17</f>
        <v>1.1500000878453451</v>
      </c>
      <c r="AB32" s="208">
        <f>1+SUM(X19:X20,Z19:AB20)/X17</f>
        <v>1.1500000984855763</v>
      </c>
      <c r="AC32" s="208">
        <f>1+SUM(Z19:AC20)/Z17</f>
        <v>1.1500000208594023</v>
      </c>
      <c r="AD32" s="212">
        <f>+AC32</f>
        <v>1.1500000208594023</v>
      </c>
      <c r="AE32" s="208">
        <f>1+SUM(AA19:AC20,AE19:AE20)/AA17</f>
        <v>1.1500000125095058</v>
      </c>
      <c r="AF32" s="208">
        <f>1+SUM(AB19:AC20,AE19:AF20)/AB17</f>
        <v>1.1499999551522624</v>
      </c>
      <c r="AG32" s="208">
        <f>1+SUM(AC19:AC20,AE19:AG20)/AC17</f>
        <v>1.1499999112659647</v>
      </c>
      <c r="AH32" s="208">
        <f>1+SUM(AE19:AH20)/AE17</f>
        <v>1.1499999316269656</v>
      </c>
      <c r="AI32" s="212">
        <f>+AH32</f>
        <v>1.1499999316269656</v>
      </c>
      <c r="AJ32" s="208">
        <f>1+SUM(AF19:AH20,AJ19:AJ20)/AF17</f>
        <v>1.1499999438099826</v>
      </c>
      <c r="AK32" s="208">
        <f>1+SUM(AG19:AH20,AJ19:AK20)/AG17</f>
        <v>1.1499999827435681</v>
      </c>
      <c r="AL32" s="208">
        <f>1+SUM(AH19:AH20,AJ19:AL20)/AH17</f>
        <v>1.1500000000792268</v>
      </c>
      <c r="AM32" s="208">
        <f>1+SUM(AJ19:AM20)/AJ17</f>
        <v>1.1500000111337818</v>
      </c>
      <c r="AN32" s="212">
        <f>+AM32</f>
        <v>1.1500000111337818</v>
      </c>
      <c r="AO32" s="27"/>
      <c r="AP32" s="27"/>
      <c r="AQ32" s="27"/>
      <c r="AR32" s="27"/>
      <c r="AS32" s="27"/>
      <c r="AT32" s="27"/>
      <c r="AU32" s="27"/>
      <c r="AV32" s="27"/>
      <c r="AW32" s="27"/>
      <c r="AX32" s="27"/>
      <c r="AY32" s="27"/>
      <c r="AZ32" s="27"/>
    </row>
    <row r="33" spans="1:52" ht="15.75" customHeight="1" outlineLevel="1" x14ac:dyDescent="0.2">
      <c r="A33" s="27"/>
      <c r="B33" s="77" t="s">
        <v>483</v>
      </c>
      <c r="C33" s="77"/>
      <c r="D33" s="77"/>
      <c r="E33" s="77"/>
      <c r="F33" s="208">
        <f>+(F20+F17)/F17</f>
        <v>1</v>
      </c>
      <c r="G33" s="208">
        <f>+(G20+G17)/G17</f>
        <v>0.99867391592626975</v>
      </c>
      <c r="H33" s="208">
        <f>+(H20+H17)/H17</f>
        <v>0.9969919383948983</v>
      </c>
      <c r="I33" s="208">
        <f>+(I20+I17)/I17</f>
        <v>0.99516196886832142</v>
      </c>
      <c r="J33" s="212"/>
      <c r="K33" s="208">
        <f t="shared" ref="K33:AM33" si="6">+(K20+K17)/K17</f>
        <v>0.95976526127953055</v>
      </c>
      <c r="L33" s="208">
        <f t="shared" si="6"/>
        <v>1</v>
      </c>
      <c r="M33" s="208">
        <f t="shared" si="6"/>
        <v>0.96246789655943665</v>
      </c>
      <c r="N33" s="208">
        <f t="shared" si="6"/>
        <v>0.97518176626706898</v>
      </c>
      <c r="O33" s="212"/>
      <c r="P33" s="208">
        <f t="shared" si="6"/>
        <v>0.95855257277195605</v>
      </c>
      <c r="Q33" s="208">
        <f t="shared" si="6"/>
        <v>0.80430600020825749</v>
      </c>
      <c r="R33" s="208">
        <f t="shared" si="6"/>
        <v>0.96278014269104939</v>
      </c>
      <c r="S33" s="208">
        <f t="shared" si="6"/>
        <v>0.96518280704486903</v>
      </c>
      <c r="T33" s="212"/>
      <c r="U33" s="208">
        <f t="shared" si="6"/>
        <v>0.96391716173217978</v>
      </c>
      <c r="V33" s="208">
        <f t="shared" si="6"/>
        <v>0.94538792451068643</v>
      </c>
      <c r="W33" s="208">
        <f t="shared" si="6"/>
        <v>0.94952899637679566</v>
      </c>
      <c r="X33" s="208">
        <f t="shared" si="6"/>
        <v>0.96637332630838102</v>
      </c>
      <c r="Y33" s="212"/>
      <c r="Z33" s="208">
        <f t="shared" si="6"/>
        <v>0.9725544323606351</v>
      </c>
      <c r="AA33" s="208">
        <f t="shared" si="6"/>
        <v>0.98178910294790034</v>
      </c>
      <c r="AB33" s="208">
        <f t="shared" si="6"/>
        <v>0.96799644959915199</v>
      </c>
      <c r="AC33" s="208">
        <f t="shared" si="6"/>
        <v>0.9680933609800092</v>
      </c>
      <c r="AD33" s="212"/>
      <c r="AE33" s="208">
        <f t="shared" si="6"/>
        <v>0.97225233847410908</v>
      </c>
      <c r="AF33" s="208">
        <f t="shared" si="6"/>
        <v>0.97710314267530174</v>
      </c>
      <c r="AG33" s="208">
        <f t="shared" si="6"/>
        <v>0.97096851153689745</v>
      </c>
      <c r="AH33" s="208">
        <f t="shared" si="6"/>
        <v>0.97146788301232445</v>
      </c>
      <c r="AI33" s="212"/>
      <c r="AJ33" s="208">
        <f t="shared" si="6"/>
        <v>0.97250832290227118</v>
      </c>
      <c r="AK33" s="208">
        <f t="shared" si="6"/>
        <v>0.97344354845164105</v>
      </c>
      <c r="AL33" s="208">
        <f t="shared" si="6"/>
        <v>0.96901337162312473</v>
      </c>
      <c r="AM33" s="208">
        <f t="shared" si="6"/>
        <v>0.96771161699990482</v>
      </c>
      <c r="AN33" s="212"/>
      <c r="AO33" s="27"/>
      <c r="AP33" s="27"/>
      <c r="AQ33" s="27"/>
      <c r="AR33" s="27"/>
      <c r="AS33" s="27"/>
      <c r="AT33" s="27"/>
      <c r="AU33" s="27"/>
      <c r="AV33" s="27"/>
      <c r="AW33" s="27"/>
      <c r="AX33" s="27"/>
      <c r="AY33" s="27"/>
      <c r="AZ33" s="27"/>
    </row>
    <row r="34" spans="1:52" ht="15.75" customHeight="1" outlineLevel="1" x14ac:dyDescent="0.2">
      <c r="A34" s="27"/>
      <c r="B34" s="77" t="s">
        <v>1933</v>
      </c>
      <c r="C34" s="77"/>
      <c r="D34" s="77"/>
      <c r="E34" s="77"/>
      <c r="F34" s="208">
        <f>SUM(F19:F20,F17)/F17</f>
        <v>1.0223698481561823</v>
      </c>
      <c r="G34" s="208">
        <f>SUM(G19:G20,G17)/G17</f>
        <v>1.0079565044423817</v>
      </c>
      <c r="H34" s="208">
        <f>SUM(H19:H20,H17)/H17</f>
        <v>1.0132354710624474</v>
      </c>
      <c r="I34" s="208">
        <f>SUM(I19:I20,I17)/I17</f>
        <v>1.2502103491796381</v>
      </c>
      <c r="J34" s="212"/>
      <c r="K34" s="208">
        <f t="shared" ref="K34:AM34" si="7">SUM(K19:K20,K17)/K17</f>
        <v>0.96823573258910312</v>
      </c>
      <c r="L34" s="208">
        <f t="shared" si="7"/>
        <v>1.0075890137660004</v>
      </c>
      <c r="M34" s="208">
        <f t="shared" si="7"/>
        <v>1.0277420001696758</v>
      </c>
      <c r="N34" s="208">
        <f t="shared" si="7"/>
        <v>1.0277858611407096</v>
      </c>
      <c r="O34" s="212"/>
      <c r="P34" s="208">
        <f t="shared" si="7"/>
        <v>1.013236898141471</v>
      </c>
      <c r="Q34" s="208">
        <f t="shared" si="7"/>
        <v>0.82467697087595837</v>
      </c>
      <c r="R34" s="208">
        <f t="shared" si="7"/>
        <v>0.9772156520971006</v>
      </c>
      <c r="S34" s="208">
        <f t="shared" si="7"/>
        <v>1.0289839080661489</v>
      </c>
      <c r="T34" s="212"/>
      <c r="U34" s="208">
        <f t="shared" si="7"/>
        <v>1.0468777180151287</v>
      </c>
      <c r="V34" s="208">
        <f t="shared" si="7"/>
        <v>1.0011700670352535</v>
      </c>
      <c r="W34" s="208">
        <f t="shared" si="7"/>
        <v>1.0260709572778497</v>
      </c>
      <c r="X34" s="208">
        <f t="shared" si="7"/>
        <v>1.0277642537250169</v>
      </c>
      <c r="Y34" s="212"/>
      <c r="Z34" s="208">
        <f t="shared" si="7"/>
        <v>1.0274455676393648</v>
      </c>
      <c r="AA34" s="208">
        <f t="shared" si="7"/>
        <v>1.0182109461089852</v>
      </c>
      <c r="AB34" s="208">
        <f t="shared" si="7"/>
        <v>1.0320035913576862</v>
      </c>
      <c r="AC34" s="208">
        <f t="shared" si="7"/>
        <v>1.0319066048257577</v>
      </c>
      <c r="AD34" s="212"/>
      <c r="AE34" s="208">
        <f t="shared" si="7"/>
        <v>1.0277476615258909</v>
      </c>
      <c r="AF34" s="208">
        <f t="shared" si="7"/>
        <v>1.0228968338633131</v>
      </c>
      <c r="AG34" s="208">
        <f t="shared" si="7"/>
        <v>1.0290314691821729</v>
      </c>
      <c r="AH34" s="208">
        <f t="shared" si="7"/>
        <v>1.0285321011423094</v>
      </c>
      <c r="AI34" s="212"/>
      <c r="AJ34" s="208">
        <f t="shared" si="7"/>
        <v>1.0274916770977287</v>
      </c>
      <c r="AK34" s="208">
        <f t="shared" si="7"/>
        <v>1.0265564627907982</v>
      </c>
      <c r="AL34" s="208">
        <f t="shared" si="7"/>
        <v>1.0309866283768754</v>
      </c>
      <c r="AM34" s="208">
        <f t="shared" si="7"/>
        <v>1.0322883830000951</v>
      </c>
      <c r="AN34" s="212"/>
      <c r="AO34" s="27"/>
      <c r="AP34" s="27"/>
      <c r="AQ34" s="27"/>
      <c r="AR34" s="27"/>
      <c r="AS34" s="27"/>
      <c r="AT34" s="27"/>
      <c r="AU34" s="27"/>
      <c r="AV34" s="27"/>
      <c r="AW34" s="27"/>
      <c r="AX34" s="27"/>
      <c r="AY34" s="27"/>
      <c r="AZ34" s="27"/>
    </row>
    <row r="35" spans="1:52" ht="15.75" customHeight="1" outlineLevel="1" x14ac:dyDescent="0.2">
      <c r="A35" s="27"/>
      <c r="B35" s="69" t="s">
        <v>1935</v>
      </c>
      <c r="C35" s="69"/>
      <c r="D35" s="69"/>
      <c r="E35" s="69"/>
      <c r="F35" s="145" t="str">
        <f>IFERROR((F28/12)*((1-((F33^((1/3))))^36)/(1-((F33^((1/3))))))*(F52-10%),"n.a.")</f>
        <v>n.a.</v>
      </c>
      <c r="G35" s="145">
        <f t="shared" ref="G35:AM35" si="8">IFERROR((G28/12)*((1-((G33^((1/3))))^36)/(1-((G33^((1/3))))))*(G52-10%),"n.a.")</f>
        <v>51436.039772888638</v>
      </c>
      <c r="H35" s="145">
        <f t="shared" si="8"/>
        <v>29057.550392557852</v>
      </c>
      <c r="I35" s="145">
        <f t="shared" si="8"/>
        <v>22736.411654901593</v>
      </c>
      <c r="J35" s="213"/>
      <c r="K35" s="145">
        <f t="shared" si="8"/>
        <v>23885.293714183132</v>
      </c>
      <c r="L35" s="145" t="str">
        <f t="shared" si="8"/>
        <v>n.a.</v>
      </c>
      <c r="M35" s="145">
        <f t="shared" si="8"/>
        <v>64559.83934775016</v>
      </c>
      <c r="N35" s="145">
        <f t="shared" si="8"/>
        <v>41731.124965732517</v>
      </c>
      <c r="O35" s="213"/>
      <c r="P35" s="145">
        <f t="shared" si="8"/>
        <v>27548.151319257093</v>
      </c>
      <c r="Q35" s="145">
        <f t="shared" si="8"/>
        <v>10384.581314798996</v>
      </c>
      <c r="R35" s="145">
        <f t="shared" si="8"/>
        <v>17406.302679728582</v>
      </c>
      <c r="S35" s="145">
        <f t="shared" si="8"/>
        <v>18328.264408316441</v>
      </c>
      <c r="T35" s="213"/>
      <c r="U35" s="145">
        <f t="shared" si="8"/>
        <v>22481.361049784016</v>
      </c>
      <c r="V35" s="145">
        <f t="shared" si="8"/>
        <v>21919.564242778568</v>
      </c>
      <c r="W35" s="145">
        <f t="shared" si="8"/>
        <v>33313.982737382699</v>
      </c>
      <c r="X35" s="145">
        <f t="shared" si="8"/>
        <v>45885.329889992841</v>
      </c>
      <c r="Y35" s="213"/>
      <c r="Z35" s="145">
        <f t="shared" si="8"/>
        <v>51161.641439938394</v>
      </c>
      <c r="AA35" s="145">
        <f t="shared" si="8"/>
        <v>62200.052936133594</v>
      </c>
      <c r="AB35" s="145">
        <f t="shared" si="8"/>
        <v>64414.139603967968</v>
      </c>
      <c r="AC35" s="145">
        <f t="shared" si="8"/>
        <v>70793.548064460294</v>
      </c>
      <c r="AD35" s="213"/>
      <c r="AE35" s="145">
        <f t="shared" si="8"/>
        <v>74982.053376066659</v>
      </c>
      <c r="AF35" s="145">
        <f t="shared" si="8"/>
        <v>82030.123451547304</v>
      </c>
      <c r="AG35" s="145">
        <f t="shared" si="8"/>
        <v>82469.675837769566</v>
      </c>
      <c r="AH35" s="145">
        <f t="shared" si="8"/>
        <v>84642.665038234481</v>
      </c>
      <c r="AI35" s="212"/>
      <c r="AJ35" s="145">
        <f t="shared" si="8"/>
        <v>89304.920448792793</v>
      </c>
      <c r="AK35" s="145">
        <f t="shared" si="8"/>
        <v>93738.983908428854</v>
      </c>
      <c r="AL35" s="145">
        <f t="shared" si="8"/>
        <v>94464.981090747853</v>
      </c>
      <c r="AM35" s="145">
        <f t="shared" si="8"/>
        <v>96402.462758425347</v>
      </c>
      <c r="AN35" s="213"/>
      <c r="AO35" s="27"/>
      <c r="AP35" s="27"/>
      <c r="AQ35" s="27"/>
      <c r="AR35" s="27"/>
      <c r="AS35" s="27"/>
      <c r="AT35" s="27"/>
      <c r="AU35" s="27"/>
      <c r="AV35" s="27"/>
      <c r="AW35" s="27"/>
      <c r="AX35" s="27"/>
      <c r="AY35" s="27"/>
      <c r="AZ35" s="27"/>
    </row>
    <row r="36" spans="1:52" ht="15.75" customHeight="1" outlineLevel="1" x14ac:dyDescent="0.2">
      <c r="A36" s="27"/>
      <c r="B36" s="248" t="s">
        <v>1936</v>
      </c>
      <c r="C36" s="69"/>
      <c r="D36" s="69"/>
      <c r="E36" s="69"/>
      <c r="F36" s="143"/>
      <c r="G36" s="143">
        <f>-F55/G27</f>
        <v>695</v>
      </c>
      <c r="H36" s="143">
        <f>-G55/H27</f>
        <v>0</v>
      </c>
      <c r="I36" s="143">
        <f>-H55/I27</f>
        <v>2459.2522222222224</v>
      </c>
      <c r="J36" s="213"/>
      <c r="K36" s="143">
        <f>-I55/K27</f>
        <v>6974.5252941176477</v>
      </c>
      <c r="L36" s="143">
        <f>-K55/L27</f>
        <v>15905.22923076923</v>
      </c>
      <c r="M36" s="143">
        <f>-L55/M27</f>
        <v>22211.350000000002</v>
      </c>
      <c r="N36" s="143">
        <f>-M55/N27</f>
        <v>21154.580454545452</v>
      </c>
      <c r="O36" s="213"/>
      <c r="P36" s="143">
        <f>-N55/P27</f>
        <v>14028.826666666666</v>
      </c>
      <c r="Q36" s="143">
        <f>-P55/Q27</f>
        <v>16567.749800000001</v>
      </c>
      <c r="R36" s="143">
        <f>-Q55/R27</f>
        <v>21032.478833333334</v>
      </c>
      <c r="S36" s="143">
        <f>-R55/S27</f>
        <v>21702.28</v>
      </c>
      <c r="T36" s="213"/>
      <c r="U36" s="143">
        <f>-S55/U27</f>
        <v>36293.593768115948</v>
      </c>
      <c r="V36" s="143">
        <f>-U55/V27</f>
        <v>60873.718000000001</v>
      </c>
      <c r="W36" s="143">
        <f>-V55/W27</f>
        <v>40630.033707865172</v>
      </c>
      <c r="X36" s="143">
        <f>-W55/X27</f>
        <v>39410.670329670327</v>
      </c>
      <c r="Y36" s="213"/>
      <c r="Z36" s="143">
        <f>-X55/Z27</f>
        <v>47317.090909090912</v>
      </c>
      <c r="AA36" s="143">
        <f>-Z55/AA27</f>
        <v>46326.5</v>
      </c>
      <c r="AB36" s="143">
        <f>-AA55/AB27</f>
        <v>41308.981132075474</v>
      </c>
      <c r="AC36" s="143">
        <f>-AB55/AC27</f>
        <v>35092.692913385828</v>
      </c>
      <c r="AD36" s="213"/>
      <c r="AE36" s="143">
        <f>-AC55/AE27</f>
        <v>27594.169590643276</v>
      </c>
      <c r="AF36" s="143">
        <f>-AE55/AF27</f>
        <v>26644.311320754718</v>
      </c>
      <c r="AG36" s="143">
        <f>-AF55/AG27</f>
        <v>24906.827309236949</v>
      </c>
      <c r="AH36" s="143">
        <f>-AG55/AH27</f>
        <v>24089.440397350994</v>
      </c>
      <c r="AI36" s="213"/>
      <c r="AJ36" s="143">
        <f>-AH55/AJ27</f>
        <v>33112.592156862745</v>
      </c>
      <c r="AK36" s="143">
        <f>-AJ55/AK27</f>
        <v>34379.36824324324</v>
      </c>
      <c r="AL36" s="143">
        <f>-AK55/AL27</f>
        <v>35418.249240121579</v>
      </c>
      <c r="AM36" s="143">
        <f>-AL55/AM27</f>
        <v>35524.300531914894</v>
      </c>
      <c r="AN36" s="213"/>
      <c r="AO36" s="27"/>
      <c r="AP36" s="27"/>
      <c r="AQ36" s="27"/>
      <c r="AR36" s="27"/>
      <c r="AS36" s="27"/>
      <c r="AT36" s="27"/>
      <c r="AU36" s="27"/>
      <c r="AV36" s="27"/>
      <c r="AW36" s="27"/>
      <c r="AX36" s="27"/>
      <c r="AY36" s="27"/>
      <c r="AZ36" s="27"/>
    </row>
    <row r="37" spans="1:52" ht="15.75" customHeight="1" outlineLevel="1" x14ac:dyDescent="0.2">
      <c r="A37" s="27"/>
      <c r="B37" s="69" t="s">
        <v>486</v>
      </c>
      <c r="C37" s="69"/>
      <c r="D37" s="69"/>
      <c r="E37" s="69"/>
      <c r="F37" s="209"/>
      <c r="G37" s="209">
        <f>+IFERROR(G35/G36,"n.a.")</f>
        <v>74.008690320703082</v>
      </c>
      <c r="H37" s="209" t="str">
        <f>+IFERROR(H35/H36,"n.a.")</f>
        <v>n.a.</v>
      </c>
      <c r="I37" s="209">
        <f>+IFERROR(I35/I36,"n.a.")</f>
        <v>9.245254085551494</v>
      </c>
      <c r="J37" s="213"/>
      <c r="K37" s="209">
        <f>+IFERROR(K35/K36,"n.a.")</f>
        <v>3.424647944760931</v>
      </c>
      <c r="L37" s="209" t="str">
        <f>+IFERROR(L35/L36,"n.a.")</f>
        <v>n.a.</v>
      </c>
      <c r="M37" s="209">
        <f>+IFERROR(M35/M36,"n.a.")</f>
        <v>2.9066148319552911</v>
      </c>
      <c r="N37" s="209">
        <f>+IFERROR(N35/N36,"n.a.")</f>
        <v>1.9726756129907466</v>
      </c>
      <c r="O37" s="213"/>
      <c r="P37" s="209">
        <f>+IFERROR(P35/P36,"n.a.")</f>
        <v>1.9636817799390989</v>
      </c>
      <c r="Q37" s="209">
        <f>+IFERROR(Q35/Q36,"n.a.")</f>
        <v>0.62679491422540645</v>
      </c>
      <c r="R37" s="209">
        <f>+IFERROR(R35/R36,"n.a.")</f>
        <v>0.82759159382308256</v>
      </c>
      <c r="S37" s="209">
        <f>+IFERROR(S35/S36,"n.a.")</f>
        <v>0.84453174543487797</v>
      </c>
      <c r="T37" s="213"/>
      <c r="U37" s="209">
        <f>+IFERROR(U35/U36,"n.a.")</f>
        <v>0.61943055828034232</v>
      </c>
      <c r="V37" s="209">
        <f>+IFERROR(V35/V36,"n.a.")</f>
        <v>0.36008256047016163</v>
      </c>
      <c r="W37" s="209">
        <f>+IFERROR(W35/W36,"n.a.")</f>
        <v>0.81993490275972303</v>
      </c>
      <c r="X37" s="209">
        <f>+IFERROR(X35/X36,"n.a.")</f>
        <v>1.1642869686346864</v>
      </c>
      <c r="Y37" s="213"/>
      <c r="Z37" s="209">
        <f>+IFERROR(Z35/Z36,"n.a.")</f>
        <v>1.08125077972849</v>
      </c>
      <c r="AA37" s="209">
        <f>+IFERROR(AA35/AA36,"n.a.")</f>
        <v>1.3426452016909025</v>
      </c>
      <c r="AB37" s="209">
        <f>+IFERROR(AB35/AB36,"n.a.")</f>
        <v>1.5593253050231217</v>
      </c>
      <c r="AC37" s="209">
        <f>+IFERROR(AC35/AC36,"n.a.")</f>
        <v>2.0173301672570321</v>
      </c>
      <c r="AD37" s="213"/>
      <c r="AE37" s="209">
        <f>+IFERROR(AE35/AE36,"n.a.")</f>
        <v>2.7173150882384887</v>
      </c>
      <c r="AF37" s="209">
        <f>+IFERROR(AF35/AF36,"n.a.")</f>
        <v>3.0787105909413968</v>
      </c>
      <c r="AG37" s="209">
        <f>+IFERROR(AG35/AG36,"n.a.")</f>
        <v>3.3111272991074561</v>
      </c>
      <c r="AH37" s="209">
        <f>+IFERROR(AH35/AH36,"n.a.")</f>
        <v>3.5136833252275239</v>
      </c>
      <c r="AI37" s="213"/>
      <c r="AJ37" s="209">
        <f>+IFERROR(AJ35/AJ36,"n.a.")</f>
        <v>2.6970078339301478</v>
      </c>
      <c r="AK37" s="209">
        <f>+IFERROR(AK35/AK36,"n.a.")</f>
        <v>2.7266057725435915</v>
      </c>
      <c r="AL37" s="209">
        <f>+IFERROR(AL35/AL36,"n.a.")</f>
        <v>2.6671273458581486</v>
      </c>
      <c r="AM37" s="209">
        <f>+IFERROR(AM35/AM36,"n.a.")</f>
        <v>2.713704740556897</v>
      </c>
      <c r="AN37" s="213"/>
      <c r="AO37" s="27"/>
      <c r="AP37" s="27"/>
      <c r="AQ37" s="27"/>
      <c r="AR37" s="27"/>
      <c r="AS37" s="27"/>
      <c r="AT37" s="27"/>
      <c r="AU37" s="27"/>
      <c r="AV37" s="27"/>
      <c r="AW37" s="27"/>
      <c r="AX37" s="27"/>
      <c r="AY37" s="27"/>
      <c r="AZ37" s="27"/>
    </row>
    <row r="38" spans="1:52" ht="15.75" customHeight="1" outlineLevel="1" x14ac:dyDescent="0.2">
      <c r="A38" s="27"/>
      <c r="B38" s="69" t="s">
        <v>1937</v>
      </c>
      <c r="C38" s="69"/>
      <c r="D38" s="69"/>
      <c r="E38" s="69"/>
      <c r="F38" s="210"/>
      <c r="G38" s="244">
        <f>+G36/((G28*(G52-10%)))*12</f>
        <v>0.4826837258509189</v>
      </c>
      <c r="H38" s="244">
        <f t="shared" ref="H38:AM38" si="9">+H36/((H28*(H52-10%)))*12</f>
        <v>0</v>
      </c>
      <c r="I38" s="244">
        <f t="shared" si="9"/>
        <v>3.7858077069972875</v>
      </c>
      <c r="J38" s="213"/>
      <c r="K38" s="244">
        <f t="shared" si="9"/>
        <v>8.3566362320035932</v>
      </c>
      <c r="L38" s="244">
        <f t="shared" si="9"/>
        <v>11.300643846031551</v>
      </c>
      <c r="M38" s="244">
        <f t="shared" si="9"/>
        <v>9.9955151432020113</v>
      </c>
      <c r="N38" s="244">
        <f t="shared" si="9"/>
        <v>15.820586659374431</v>
      </c>
      <c r="O38" s="213"/>
      <c r="P38" s="244">
        <f t="shared" si="9"/>
        <v>14.475937579009042</v>
      </c>
      <c r="Q38" s="244">
        <f t="shared" si="9"/>
        <v>21.115314070251614</v>
      </c>
      <c r="R38" s="244">
        <f t="shared" si="9"/>
        <v>35.166911497340323</v>
      </c>
      <c r="S38" s="244">
        <f t="shared" si="9"/>
        <v>34.928024671560223</v>
      </c>
      <c r="T38" s="213"/>
      <c r="U38" s="244">
        <f t="shared" si="9"/>
        <v>47.284525138392873</v>
      </c>
      <c r="V38" s="244">
        <f t="shared" si="9"/>
        <v>73.418737589184886</v>
      </c>
      <c r="W38" s="244">
        <f t="shared" si="9"/>
        <v>32.982409550989097</v>
      </c>
      <c r="X38" s="244">
        <f t="shared" si="9"/>
        <v>25.505274485613263</v>
      </c>
      <c r="Y38" s="213"/>
      <c r="Z38" s="244">
        <f t="shared" si="9"/>
        <v>28.437313651757492</v>
      </c>
      <c r="AA38" s="244">
        <f t="shared" si="9"/>
        <v>24.135701007383801</v>
      </c>
      <c r="AB38" s="244">
        <f t="shared" si="9"/>
        <v>19.218257436331037</v>
      </c>
      <c r="AC38" s="244">
        <f t="shared" si="9"/>
        <v>14.863136978729294</v>
      </c>
      <c r="AD38" s="213"/>
      <c r="AE38" s="244">
        <f t="shared" si="9"/>
        <v>11.296220223264738</v>
      </c>
      <c r="AF38" s="244">
        <f t="shared" si="9"/>
        <v>10.248228066149757</v>
      </c>
      <c r="AG38" s="244">
        <f t="shared" si="9"/>
        <v>9.2033850395965864</v>
      </c>
      <c r="AH38" s="244">
        <f t="shared" si="9"/>
        <v>8.6973191565568637</v>
      </c>
      <c r="AI38" s="213"/>
      <c r="AJ38" s="244">
        <f t="shared" si="9"/>
        <v>11.397760988394168</v>
      </c>
      <c r="AK38" s="244">
        <f t="shared" si="9"/>
        <v>11.333853963575137</v>
      </c>
      <c r="AL38" s="244">
        <f t="shared" si="9"/>
        <v>11.300364747861691</v>
      </c>
      <c r="AM38" s="244">
        <f t="shared" si="9"/>
        <v>11.02535365526232</v>
      </c>
      <c r="AN38" s="213"/>
      <c r="AO38" s="27"/>
      <c r="AP38" s="27"/>
      <c r="AQ38" s="27"/>
      <c r="AR38" s="27"/>
      <c r="AS38" s="27"/>
      <c r="AT38" s="27"/>
      <c r="AU38" s="27"/>
      <c r="AV38" s="27"/>
      <c r="AW38" s="27"/>
      <c r="AX38" s="27"/>
      <c r="AY38" s="27"/>
      <c r="AZ38" s="27"/>
    </row>
    <row r="39" spans="1:52" ht="15.75" customHeight="1" outlineLevel="1" x14ac:dyDescent="0.2">
      <c r="A39" s="27"/>
      <c r="B39" s="69" t="s">
        <v>487</v>
      </c>
      <c r="C39" s="69"/>
      <c r="D39" s="69"/>
      <c r="E39" s="69"/>
      <c r="F39" s="211"/>
      <c r="G39" s="211">
        <f>+IFERROR((G21-F21)/-F55,"n.a.")</f>
        <v>13.294964028776979</v>
      </c>
      <c r="H39" s="211" t="str">
        <f t="shared" ref="H39:N39" si="10">+IFERROR((H21-G21)/-G55,"n.a.")</f>
        <v>n.a.</v>
      </c>
      <c r="I39" s="211">
        <f t="shared" si="10"/>
        <v>6.3663218313425904</v>
      </c>
      <c r="J39" s="213"/>
      <c r="K39" s="211">
        <f>+IFERROR((K21-J21)/-I55,"n.a.")</f>
        <v>1.9840439488481314</v>
      </c>
      <c r="L39" s="211">
        <f t="shared" si="10"/>
        <v>2.6456053785503926</v>
      </c>
      <c r="M39" s="211">
        <f t="shared" si="10"/>
        <v>1.0736370626471858</v>
      </c>
      <c r="N39" s="211">
        <f t="shared" si="10"/>
        <v>0.97208691769031674</v>
      </c>
      <c r="O39" s="213"/>
      <c r="P39" s="211">
        <f>+IFERROR((P21-O21)/-N55,"n.a.")</f>
        <v>1.517708299672484</v>
      </c>
      <c r="Q39" s="211">
        <f>+IFERROR((Q21-P21)/-P55,"n.a.")</f>
        <v>0.6002855016557529</v>
      </c>
      <c r="R39" s="211">
        <f>+IFERROR((R21-Q21)/-Q55,"n.a.")</f>
        <v>1.0645733602822358</v>
      </c>
      <c r="S39" s="211">
        <f>+IFERROR((S21-R21)/-R55,"n.a.")</f>
        <v>0.99506348371984032</v>
      </c>
      <c r="T39" s="213"/>
      <c r="U39" s="211">
        <f>+IFERROR((U21-T21)/-S55,"n.a.")</f>
        <v>0.7916313030641966</v>
      </c>
      <c r="V39" s="211">
        <f>+IFERROR((V21-U21)/-U55,"n.a.")</f>
        <v>0.51884033106044247</v>
      </c>
      <c r="W39" s="211">
        <f>+IFERROR((W21-V21)/-V55,"n.a.")</f>
        <v>0.97278373528410511</v>
      </c>
      <c r="X39" s="211">
        <f>+IFERROR((X21-W21)/-W55,"n.a.")</f>
        <v>1.0506534321184284</v>
      </c>
      <c r="Y39" s="213"/>
      <c r="Z39" s="211">
        <f>+IFERROR((Z21-Y21)/-X55,"n.a.")</f>
        <v>0.92380172892691914</v>
      </c>
      <c r="AA39" s="211">
        <f>+IFERROR((AA21-Z21)/-Z55,"n.a.")</f>
        <v>0.90648463442450145</v>
      </c>
      <c r="AB39" s="211">
        <f>+IFERROR((AB21-AA21)/-AA55,"n.a.")</f>
        <v>1.1027685514046011</v>
      </c>
      <c r="AC39" s="211">
        <f>+IFERROR((AC21-AB21)/-AB55,"n.a.")</f>
        <v>1.2977401581234123</v>
      </c>
      <c r="AD39" s="213"/>
      <c r="AE39" s="211">
        <f>+IFERROR((AE21-AD21)/-AC55,"n.a.")</f>
        <v>1.6095441807670618</v>
      </c>
      <c r="AF39" s="211">
        <f>+IFERROR((AF21-AE21)/-AE55,"n.a.")</f>
        <v>1.6360690819697787</v>
      </c>
      <c r="AG39" s="211">
        <f>+IFERROR((AG21-AF21)/-AF55,"n.a.")</f>
        <v>1.8132177754845367</v>
      </c>
      <c r="AH39" s="211">
        <f>+IFERROR((AH21-AG21)/-AG55,"n.a.")</f>
        <v>1.8808742694684586</v>
      </c>
      <c r="AI39" s="213"/>
      <c r="AJ39" s="211">
        <f>+IFERROR((AJ21-AI21)/-AH55,"n.a.")</f>
        <v>1.4395748504419443</v>
      </c>
      <c r="AK39" s="211">
        <f>+IFERROR((AK21-AJ21)/-AJ55,"n.a.")</f>
        <v>1.3835475256068197</v>
      </c>
      <c r="AL39" s="211">
        <f>+IFERROR((AL21-AK21)/-AK55,"n.a.")</f>
        <v>1.3995123321791421</v>
      </c>
      <c r="AM39" s="211">
        <f>+IFERROR((AM21-AL21)/-AL55,"n.a.")</f>
        <v>1.4141724383002148</v>
      </c>
      <c r="AN39" s="213"/>
      <c r="AO39" s="27"/>
      <c r="AP39" s="27"/>
      <c r="AQ39" s="27"/>
      <c r="AR39" s="27"/>
      <c r="AS39" s="27"/>
      <c r="AT39" s="27"/>
      <c r="AU39" s="27"/>
      <c r="AV39" s="27"/>
      <c r="AW39" s="27"/>
      <c r="AX39" s="27"/>
      <c r="AY39" s="27"/>
      <c r="AZ39" s="27"/>
    </row>
    <row r="40" spans="1:52" ht="15.75" customHeight="1" x14ac:dyDescent="0.2">
      <c r="A40" s="27"/>
      <c r="B40" s="69"/>
      <c r="C40" s="69"/>
      <c r="D40" s="69"/>
      <c r="E40" s="69"/>
      <c r="F40" s="74"/>
      <c r="G40" s="74"/>
      <c r="H40" s="74"/>
      <c r="I40" s="74"/>
      <c r="J40" s="75"/>
      <c r="K40" s="74"/>
      <c r="L40" s="74"/>
      <c r="M40" s="74"/>
      <c r="N40" s="74"/>
      <c r="O40" s="75"/>
      <c r="P40" s="74"/>
      <c r="Q40" s="74"/>
      <c r="R40" s="74"/>
      <c r="S40" s="74"/>
      <c r="T40" s="75"/>
      <c r="U40" s="74"/>
      <c r="V40" s="74"/>
      <c r="W40" s="76"/>
      <c r="X40" s="74"/>
      <c r="Y40" s="75"/>
      <c r="Z40" s="74"/>
      <c r="AA40" s="74"/>
      <c r="AB40" s="74"/>
      <c r="AC40" s="74"/>
      <c r="AD40" s="75"/>
      <c r="AE40" s="74"/>
      <c r="AF40" s="74"/>
      <c r="AG40" s="74"/>
      <c r="AH40" s="74"/>
      <c r="AI40" s="75"/>
      <c r="AJ40" s="74"/>
      <c r="AK40" s="74"/>
      <c r="AL40" s="74"/>
      <c r="AM40" s="74"/>
      <c r="AN40" s="75"/>
      <c r="AO40" s="27"/>
      <c r="AP40" s="27"/>
      <c r="AQ40" s="27"/>
      <c r="AR40" s="27"/>
      <c r="AS40" s="27"/>
      <c r="AT40" s="27"/>
      <c r="AU40" s="27"/>
      <c r="AV40" s="27"/>
      <c r="AW40" s="27"/>
      <c r="AX40" s="27"/>
      <c r="AY40" s="27"/>
      <c r="AZ40" s="27"/>
    </row>
    <row r="41" spans="1:52" ht="15.75" customHeight="1" x14ac:dyDescent="0.2">
      <c r="A41" s="27"/>
      <c r="B41" s="69"/>
      <c r="C41" s="69"/>
      <c r="D41" s="69"/>
      <c r="E41" s="69"/>
      <c r="F41" s="74"/>
      <c r="G41" s="74"/>
      <c r="H41" s="74"/>
      <c r="I41" s="74"/>
      <c r="J41" s="75"/>
      <c r="K41" s="74"/>
      <c r="L41" s="74"/>
      <c r="M41" s="74"/>
      <c r="N41" s="74"/>
      <c r="O41" s="75"/>
      <c r="P41" s="74"/>
      <c r="Q41" s="74"/>
      <c r="R41" s="74"/>
      <c r="S41" s="74"/>
      <c r="T41" s="75"/>
      <c r="U41" s="74"/>
      <c r="V41" s="74"/>
      <c r="W41" s="76"/>
      <c r="X41" s="74"/>
      <c r="Y41" s="75"/>
      <c r="Z41" s="74"/>
      <c r="AA41" s="74"/>
      <c r="AB41" s="74"/>
      <c r="AC41" s="74"/>
      <c r="AD41" s="75"/>
      <c r="AE41" s="74"/>
      <c r="AF41" s="74"/>
      <c r="AG41" s="74"/>
      <c r="AH41" s="74"/>
      <c r="AI41" s="75"/>
      <c r="AJ41" s="74"/>
      <c r="AK41" s="74"/>
      <c r="AL41" s="74"/>
      <c r="AM41" s="74"/>
      <c r="AN41" s="75"/>
      <c r="AO41" s="27"/>
      <c r="AP41" s="27"/>
      <c r="AQ41" s="27"/>
      <c r="AR41" s="27"/>
      <c r="AS41" s="27"/>
      <c r="AT41" s="27"/>
      <c r="AU41" s="27"/>
      <c r="AV41" s="27"/>
      <c r="AW41" s="27"/>
      <c r="AX41" s="27"/>
      <c r="AY41" s="27"/>
      <c r="AZ41" s="27"/>
    </row>
    <row r="42" spans="1:52" ht="15.75" customHeight="1" x14ac:dyDescent="0.2">
      <c r="A42" s="27"/>
      <c r="B42" s="47" t="s">
        <v>489</v>
      </c>
      <c r="C42" s="47"/>
      <c r="D42" s="47"/>
      <c r="E42" s="47"/>
      <c r="F42" s="48"/>
      <c r="G42" s="48"/>
      <c r="H42" s="48"/>
      <c r="I42" s="48"/>
      <c r="J42" s="48"/>
      <c r="K42" s="48"/>
      <c r="L42" s="48"/>
      <c r="M42" s="48"/>
      <c r="N42" s="48"/>
      <c r="O42" s="48"/>
      <c r="P42" s="48"/>
      <c r="Q42" s="48"/>
      <c r="R42" s="48"/>
      <c r="S42" s="48"/>
      <c r="T42" s="48"/>
      <c r="U42" s="48"/>
      <c r="V42" s="48"/>
      <c r="W42" s="49"/>
      <c r="X42" s="48"/>
      <c r="Y42" s="48"/>
      <c r="Z42" s="48"/>
      <c r="AA42" s="48"/>
      <c r="AB42" s="48"/>
      <c r="AC42" s="48"/>
      <c r="AD42" s="48"/>
      <c r="AE42" s="48"/>
      <c r="AF42" s="48"/>
      <c r="AG42" s="48"/>
      <c r="AH42" s="48"/>
      <c r="AI42" s="48"/>
      <c r="AJ42" s="48"/>
      <c r="AK42" s="48"/>
      <c r="AL42" s="48"/>
      <c r="AM42" s="48"/>
      <c r="AN42" s="48"/>
      <c r="AO42" s="27"/>
      <c r="AP42" s="27"/>
      <c r="AQ42" s="27"/>
      <c r="AR42" s="27"/>
      <c r="AS42" s="27"/>
      <c r="AT42" s="27"/>
      <c r="AU42" s="27"/>
      <c r="AV42" s="27"/>
      <c r="AW42" s="27"/>
      <c r="AX42" s="27"/>
      <c r="AY42" s="27"/>
      <c r="AZ42" s="27"/>
    </row>
    <row r="43" spans="1:52" ht="15.75" customHeight="1" x14ac:dyDescent="0.2">
      <c r="A43" s="27"/>
      <c r="B43" s="78" t="s">
        <v>490</v>
      </c>
      <c r="C43" s="78"/>
      <c r="D43" s="78"/>
      <c r="E43" s="78"/>
      <c r="F43" s="79"/>
      <c r="G43" s="79"/>
      <c r="H43" s="79"/>
      <c r="I43" s="79"/>
      <c r="J43" s="80"/>
      <c r="K43" s="79"/>
      <c r="L43" s="79"/>
      <c r="M43" s="79"/>
      <c r="N43" s="79"/>
      <c r="O43" s="80"/>
      <c r="P43" s="79"/>
      <c r="Q43" s="79"/>
      <c r="R43" s="79"/>
      <c r="S43" s="79"/>
      <c r="T43" s="80"/>
      <c r="U43" s="79"/>
      <c r="V43" s="79"/>
      <c r="W43" s="81"/>
      <c r="X43" s="79"/>
      <c r="Y43" s="80"/>
      <c r="Z43" s="79"/>
      <c r="AA43" s="79"/>
      <c r="AB43" s="79"/>
      <c r="AC43" s="79"/>
      <c r="AD43" s="80"/>
      <c r="AE43" s="79"/>
      <c r="AF43" s="79"/>
      <c r="AG43" s="79"/>
      <c r="AH43" s="79"/>
      <c r="AI43" s="80"/>
      <c r="AJ43" s="79"/>
      <c r="AK43" s="79"/>
      <c r="AL43" s="79"/>
      <c r="AM43" s="79"/>
      <c r="AN43" s="80"/>
      <c r="AO43" s="27"/>
      <c r="AP43" s="27"/>
      <c r="AQ43" s="27"/>
      <c r="AR43" s="27"/>
      <c r="AS43" s="27"/>
      <c r="AT43" s="27"/>
      <c r="AU43" s="27"/>
      <c r="AV43" s="27"/>
      <c r="AW43" s="27"/>
      <c r="AX43" s="27"/>
      <c r="AY43" s="27"/>
      <c r="AZ43" s="27"/>
    </row>
    <row r="44" spans="1:52" ht="15.75" customHeight="1" x14ac:dyDescent="0.2">
      <c r="A44" s="27"/>
      <c r="B44" s="50" t="s">
        <v>491</v>
      </c>
      <c r="C44" s="50"/>
      <c r="D44" s="50"/>
      <c r="E44" s="50"/>
      <c r="F44" s="74">
        <v>29018</v>
      </c>
      <c r="G44" s="74">
        <v>24338</v>
      </c>
      <c r="H44" s="74">
        <v>26058</v>
      </c>
      <c r="I44" s="74">
        <v>47170.97</v>
      </c>
      <c r="J44" s="75">
        <v>126584.97</v>
      </c>
      <c r="K44" s="74">
        <v>74830.399999999994</v>
      </c>
      <c r="L44" s="74">
        <v>137309.09</v>
      </c>
      <c r="M44" s="74">
        <v>257996.53999999998</v>
      </c>
      <c r="N44" s="74">
        <v>383054.98</v>
      </c>
      <c r="O44" s="75">
        <v>853191.01</v>
      </c>
      <c r="P44" s="74">
        <v>543201.31999999995</v>
      </c>
      <c r="Q44" s="74">
        <v>832494.14</v>
      </c>
      <c r="R44" s="74">
        <v>1015030.5800000001</v>
      </c>
      <c r="S44" s="74">
        <v>1409147.96</v>
      </c>
      <c r="T44" s="75">
        <v>3799874</v>
      </c>
      <c r="U44" s="74">
        <v>1779760.7399999998</v>
      </c>
      <c r="V44" s="74">
        <v>2122990</v>
      </c>
      <c r="W44" s="76">
        <v>2720879</v>
      </c>
      <c r="X44" s="74">
        <v>3541160</v>
      </c>
      <c r="Y44" s="75">
        <f>SUM(U44:X44)</f>
        <v>10164789.74</v>
      </c>
      <c r="Z44" s="74">
        <v>4503453</v>
      </c>
      <c r="AA44" s="74">
        <v>5515953</v>
      </c>
      <c r="AB44" s="74">
        <v>6528453</v>
      </c>
      <c r="AC44" s="74">
        <v>7540953</v>
      </c>
      <c r="AD44" s="75">
        <v>24088812</v>
      </c>
      <c r="AE44" s="74">
        <v>8995794</v>
      </c>
      <c r="AF44" s="74">
        <v>10946245</v>
      </c>
      <c r="AG44" s="74">
        <v>13319591</v>
      </c>
      <c r="AH44" s="74">
        <v>16207520</v>
      </c>
      <c r="AI44" s="75">
        <v>49469150</v>
      </c>
      <c r="AJ44" s="74">
        <v>19072042</v>
      </c>
      <c r="AK44" s="74">
        <v>22090891</v>
      </c>
      <c r="AL44" s="74">
        <v>25587583</v>
      </c>
      <c r="AM44" s="74">
        <v>29637756</v>
      </c>
      <c r="AN44" s="75">
        <v>96388272</v>
      </c>
      <c r="AO44" s="27"/>
      <c r="AP44" s="27"/>
      <c r="AQ44" s="27"/>
      <c r="AR44" s="27"/>
      <c r="AS44" s="27"/>
      <c r="AT44" s="27"/>
      <c r="AU44" s="27"/>
      <c r="AV44" s="27"/>
      <c r="AW44" s="27"/>
      <c r="AX44" s="27"/>
      <c r="AY44" s="27"/>
      <c r="AZ44" s="27"/>
    </row>
    <row r="45" spans="1:52" ht="15.75" customHeight="1" x14ac:dyDescent="0.2">
      <c r="A45" s="27"/>
      <c r="B45" s="50" t="s">
        <v>492</v>
      </c>
      <c r="C45" s="50"/>
      <c r="D45" s="50"/>
      <c r="E45" s="50"/>
      <c r="F45" s="74">
        <v>0</v>
      </c>
      <c r="G45" s="74">
        <v>0</v>
      </c>
      <c r="H45" s="74">
        <v>0</v>
      </c>
      <c r="I45" s="74">
        <v>0</v>
      </c>
      <c r="J45" s="75">
        <v>0</v>
      </c>
      <c r="K45" s="74">
        <v>0</v>
      </c>
      <c r="L45" s="74">
        <v>0</v>
      </c>
      <c r="M45" s="74">
        <v>94947.77</v>
      </c>
      <c r="N45" s="74">
        <v>5000</v>
      </c>
      <c r="O45" s="75">
        <v>99947.77</v>
      </c>
      <c r="P45" s="74">
        <v>9500</v>
      </c>
      <c r="Q45" s="74">
        <v>16078.02</v>
      </c>
      <c r="R45" s="74">
        <v>24425.89</v>
      </c>
      <c r="S45" s="74">
        <v>31058.760000000002</v>
      </c>
      <c r="T45" s="75">
        <v>81062.670000000013</v>
      </c>
      <c r="U45" s="74">
        <v>120358.86</v>
      </c>
      <c r="V45" s="74">
        <v>88606</v>
      </c>
      <c r="W45" s="76">
        <v>61720</v>
      </c>
      <c r="X45" s="74">
        <v>52908</v>
      </c>
      <c r="Y45" s="75">
        <f>SUM(U45:X45)</f>
        <v>323592.86</v>
      </c>
      <c r="Z45" s="74">
        <v>58375</v>
      </c>
      <c r="AA45" s="74">
        <v>69908</v>
      </c>
      <c r="AB45" s="74">
        <v>35410</v>
      </c>
      <c r="AC45" s="74">
        <v>27622</v>
      </c>
      <c r="AD45" s="75">
        <v>191315</v>
      </c>
      <c r="AE45" s="74">
        <v>75076</v>
      </c>
      <c r="AF45" s="74">
        <v>115386</v>
      </c>
      <c r="AG45" s="74">
        <v>142343</v>
      </c>
      <c r="AH45" s="74">
        <v>172546</v>
      </c>
      <c r="AI45" s="75">
        <v>505352</v>
      </c>
      <c r="AJ45" s="74">
        <v>168460</v>
      </c>
      <c r="AK45" s="74">
        <v>176717</v>
      </c>
      <c r="AL45" s="74">
        <v>195361</v>
      </c>
      <c r="AM45" s="74">
        <v>221158</v>
      </c>
      <c r="AN45" s="75">
        <v>761696</v>
      </c>
      <c r="AO45" s="27"/>
      <c r="AP45" s="27"/>
      <c r="AQ45" s="27"/>
      <c r="AR45" s="27"/>
      <c r="AS45" s="27"/>
      <c r="AT45" s="27"/>
      <c r="AU45" s="27"/>
      <c r="AV45" s="27"/>
      <c r="AW45" s="27"/>
      <c r="AX45" s="27"/>
      <c r="AY45" s="27"/>
      <c r="AZ45" s="27"/>
    </row>
    <row r="46" spans="1:52" ht="15.75" customHeight="1" x14ac:dyDescent="0.2">
      <c r="A46" s="27"/>
      <c r="B46" s="61" t="s">
        <v>493</v>
      </c>
      <c r="C46" s="61"/>
      <c r="D46" s="61"/>
      <c r="E46" s="61"/>
      <c r="F46" s="82">
        <f t="shared" ref="F46:AN46" si="11">+SUM(F44:F45)</f>
        <v>29018</v>
      </c>
      <c r="G46" s="82">
        <f t="shared" si="11"/>
        <v>24338</v>
      </c>
      <c r="H46" s="82">
        <f t="shared" si="11"/>
        <v>26058</v>
      </c>
      <c r="I46" s="82">
        <f t="shared" si="11"/>
        <v>47170.97</v>
      </c>
      <c r="J46" s="83">
        <f t="shared" si="11"/>
        <v>126584.97</v>
      </c>
      <c r="K46" s="82">
        <f t="shared" si="11"/>
        <v>74830.399999999994</v>
      </c>
      <c r="L46" s="82">
        <f t="shared" si="11"/>
        <v>137309.09</v>
      </c>
      <c r="M46" s="82">
        <f t="shared" si="11"/>
        <v>352944.31</v>
      </c>
      <c r="N46" s="82">
        <f t="shared" si="11"/>
        <v>388054.98</v>
      </c>
      <c r="O46" s="83">
        <f t="shared" si="11"/>
        <v>953138.78</v>
      </c>
      <c r="P46" s="82">
        <f t="shared" si="11"/>
        <v>552701.31999999995</v>
      </c>
      <c r="Q46" s="82">
        <f t="shared" si="11"/>
        <v>848572.16</v>
      </c>
      <c r="R46" s="82">
        <f t="shared" si="11"/>
        <v>1039456.4700000001</v>
      </c>
      <c r="S46" s="82">
        <f t="shared" si="11"/>
        <v>1440206.72</v>
      </c>
      <c r="T46" s="83">
        <f t="shared" si="11"/>
        <v>3880936.67</v>
      </c>
      <c r="U46" s="82">
        <f t="shared" si="11"/>
        <v>1900119.5999999999</v>
      </c>
      <c r="V46" s="82">
        <f t="shared" si="11"/>
        <v>2211596</v>
      </c>
      <c r="W46" s="84">
        <f t="shared" si="11"/>
        <v>2782599</v>
      </c>
      <c r="X46" s="82">
        <f t="shared" si="11"/>
        <v>3594068</v>
      </c>
      <c r="Y46" s="83">
        <f t="shared" si="11"/>
        <v>10488382.6</v>
      </c>
      <c r="Z46" s="82">
        <f t="shared" si="11"/>
        <v>4561828</v>
      </c>
      <c r="AA46" s="82">
        <f t="shared" si="11"/>
        <v>5585861</v>
      </c>
      <c r="AB46" s="82">
        <f t="shared" si="11"/>
        <v>6563863</v>
      </c>
      <c r="AC46" s="82">
        <f t="shared" si="11"/>
        <v>7568575</v>
      </c>
      <c r="AD46" s="83">
        <f t="shared" si="11"/>
        <v>24280127</v>
      </c>
      <c r="AE46" s="82">
        <f t="shared" si="11"/>
        <v>9070870</v>
      </c>
      <c r="AF46" s="82">
        <f t="shared" si="11"/>
        <v>11061631</v>
      </c>
      <c r="AG46" s="82">
        <f t="shared" si="11"/>
        <v>13461934</v>
      </c>
      <c r="AH46" s="82">
        <f t="shared" si="11"/>
        <v>16380066</v>
      </c>
      <c r="AI46" s="83">
        <f t="shared" si="11"/>
        <v>49974502</v>
      </c>
      <c r="AJ46" s="82">
        <f t="shared" si="11"/>
        <v>19240502</v>
      </c>
      <c r="AK46" s="82">
        <f t="shared" si="11"/>
        <v>22267608</v>
      </c>
      <c r="AL46" s="82">
        <f t="shared" si="11"/>
        <v>25782944</v>
      </c>
      <c r="AM46" s="82">
        <f t="shared" si="11"/>
        <v>29858914</v>
      </c>
      <c r="AN46" s="83">
        <f t="shared" si="11"/>
        <v>97149968</v>
      </c>
      <c r="AO46" s="27"/>
      <c r="AP46" s="27"/>
      <c r="AQ46" s="27"/>
      <c r="AR46" s="27"/>
      <c r="AS46" s="27"/>
      <c r="AT46" s="27"/>
      <c r="AU46" s="27"/>
      <c r="AV46" s="27"/>
      <c r="AW46" s="27"/>
      <c r="AX46" s="27"/>
      <c r="AY46" s="27"/>
      <c r="AZ46" s="27"/>
    </row>
    <row r="47" spans="1:52" ht="15.75" customHeight="1" x14ac:dyDescent="0.2">
      <c r="A47" s="27"/>
      <c r="B47" s="78" t="s">
        <v>494</v>
      </c>
      <c r="C47" s="78"/>
      <c r="D47" s="78"/>
      <c r="E47" s="78"/>
      <c r="F47" s="79"/>
      <c r="G47" s="79"/>
      <c r="H47" s="79"/>
      <c r="I47" s="79"/>
      <c r="J47" s="80"/>
      <c r="K47" s="79"/>
      <c r="L47" s="79"/>
      <c r="M47" s="79"/>
      <c r="N47" s="79"/>
      <c r="O47" s="80"/>
      <c r="P47" s="79"/>
      <c r="Q47" s="79"/>
      <c r="R47" s="79"/>
      <c r="S47" s="79"/>
      <c r="T47" s="80"/>
      <c r="U47" s="79"/>
      <c r="V47" s="74"/>
      <c r="W47" s="81"/>
      <c r="X47" s="79"/>
      <c r="Y47" s="80"/>
      <c r="Z47" s="79"/>
      <c r="AA47" s="79"/>
      <c r="AB47" s="79"/>
      <c r="AC47" s="79"/>
      <c r="AD47" s="80"/>
      <c r="AE47" s="79"/>
      <c r="AF47" s="79"/>
      <c r="AG47" s="79"/>
      <c r="AH47" s="79"/>
      <c r="AI47" s="80"/>
      <c r="AJ47" s="79"/>
      <c r="AK47" s="79"/>
      <c r="AL47" s="79"/>
      <c r="AM47" s="79"/>
      <c r="AN47" s="80"/>
      <c r="AO47" s="27"/>
      <c r="AP47" s="27"/>
      <c r="AQ47" s="27"/>
      <c r="AR47" s="27"/>
      <c r="AS47" s="27"/>
      <c r="AT47" s="27"/>
      <c r="AU47" s="27"/>
      <c r="AV47" s="27"/>
      <c r="AW47" s="27"/>
      <c r="AX47" s="27"/>
      <c r="AY47" s="27"/>
      <c r="AZ47" s="27"/>
    </row>
    <row r="48" spans="1:52" ht="15.75" customHeight="1" x14ac:dyDescent="0.2">
      <c r="A48" s="27"/>
      <c r="B48" s="50" t="s">
        <v>495</v>
      </c>
      <c r="C48" s="50"/>
      <c r="D48" s="50"/>
      <c r="E48" s="50"/>
      <c r="F48" s="74">
        <v>-783.07</v>
      </c>
      <c r="G48" s="74">
        <v>-821.61999999999989</v>
      </c>
      <c r="H48" s="74">
        <v>-1539.0700000000002</v>
      </c>
      <c r="I48" s="74">
        <v>-2155.42</v>
      </c>
      <c r="J48" s="75">
        <v>-5299.18</v>
      </c>
      <c r="K48" s="74">
        <v>-1419.8</v>
      </c>
      <c r="L48" s="74">
        <v>-2460.71</v>
      </c>
      <c r="M48" s="74">
        <v>-10195.61</v>
      </c>
      <c r="N48" s="74">
        <v>-3408.5499999999997</v>
      </c>
      <c r="O48" s="75">
        <v>-17484.670000000002</v>
      </c>
      <c r="P48" s="74">
        <v>-5471.17</v>
      </c>
      <c r="Q48" s="74">
        <v>-14999.8</v>
      </c>
      <c r="R48" s="74">
        <v>-22027.07</v>
      </c>
      <c r="S48" s="74">
        <v>-25380.02</v>
      </c>
      <c r="T48" s="75">
        <v>-67878.06</v>
      </c>
      <c r="U48" s="74">
        <v>-45317.97</v>
      </c>
      <c r="V48" s="74">
        <v>-68004</v>
      </c>
      <c r="W48" s="76">
        <v>-84221</v>
      </c>
      <c r="X48" s="74">
        <v>-95982</v>
      </c>
      <c r="Y48" s="75">
        <f>SUM(U48:X48)</f>
        <v>-293524.96999999997</v>
      </c>
      <c r="Z48" s="74">
        <v>-122002</v>
      </c>
      <c r="AA48" s="74">
        <v>-149420</v>
      </c>
      <c r="AB48" s="74">
        <v>-176516</v>
      </c>
      <c r="AC48" s="74">
        <v>-203799</v>
      </c>
      <c r="AD48" s="75">
        <v>-651737</v>
      </c>
      <c r="AE48" s="74">
        <v>-243412</v>
      </c>
      <c r="AF48" s="74">
        <v>-296356</v>
      </c>
      <c r="AG48" s="74">
        <v>-360625</v>
      </c>
      <c r="AH48" s="74">
        <v>-438811</v>
      </c>
      <c r="AI48" s="75">
        <v>-1339205</v>
      </c>
      <c r="AJ48" s="74">
        <v>-516124</v>
      </c>
      <c r="AK48" s="74">
        <v>-597691</v>
      </c>
      <c r="AL48" s="74">
        <v>-692232</v>
      </c>
      <c r="AM48" s="74">
        <v>-801768</v>
      </c>
      <c r="AN48" s="75">
        <v>-2607815</v>
      </c>
      <c r="AO48" s="27"/>
      <c r="AP48" s="27"/>
      <c r="AQ48" s="27"/>
      <c r="AR48" s="27"/>
      <c r="AS48" s="27"/>
      <c r="AT48" s="27"/>
      <c r="AU48" s="27"/>
      <c r="AV48" s="27"/>
      <c r="AW48" s="27"/>
      <c r="AX48" s="27"/>
      <c r="AY48" s="27"/>
      <c r="AZ48" s="27"/>
    </row>
    <row r="49" spans="1:52" ht="15.75" customHeight="1" x14ac:dyDescent="0.2">
      <c r="A49" s="27"/>
      <c r="B49" s="50" t="s">
        <v>496</v>
      </c>
      <c r="C49" s="50"/>
      <c r="D49" s="50"/>
      <c r="E49" s="50"/>
      <c r="F49" s="74">
        <v>0</v>
      </c>
      <c r="G49" s="74">
        <v>0</v>
      </c>
      <c r="H49" s="74">
        <v>-6154.63</v>
      </c>
      <c r="I49" s="74">
        <v>-17227.03</v>
      </c>
      <c r="J49" s="75">
        <v>-23381.66</v>
      </c>
      <c r="K49" s="74">
        <v>-17008.419999999998</v>
      </c>
      <c r="L49" s="74">
        <v>-20508.400000000001</v>
      </c>
      <c r="M49" s="74">
        <v>-30952.070000000003</v>
      </c>
      <c r="N49" s="74">
        <v>-90174.2</v>
      </c>
      <c r="O49" s="75">
        <v>-158643.09</v>
      </c>
      <c r="P49" s="74">
        <v>-223285.75999999998</v>
      </c>
      <c r="Q49" s="74">
        <v>-362675.68</v>
      </c>
      <c r="R49" s="74">
        <v>-570743.76</v>
      </c>
      <c r="S49" s="74">
        <v>-794165.7</v>
      </c>
      <c r="T49" s="75">
        <v>-1950870.9</v>
      </c>
      <c r="U49" s="74">
        <v>-996399.96</v>
      </c>
      <c r="V49" s="74">
        <v>-1130480</v>
      </c>
      <c r="W49" s="76">
        <v>-1093745</v>
      </c>
      <c r="X49" s="74">
        <v>-1160858</v>
      </c>
      <c r="Y49" s="75">
        <f>SUM(U49:X49)</f>
        <v>-4381482.96</v>
      </c>
      <c r="Z49" s="74">
        <v>-1448632</v>
      </c>
      <c r="AA49" s="74">
        <v>-1450518</v>
      </c>
      <c r="AB49" s="74">
        <v>-1450518</v>
      </c>
      <c r="AC49" s="74">
        <v>-1450518</v>
      </c>
      <c r="AD49" s="75">
        <v>-5800185</v>
      </c>
      <c r="AE49" s="74">
        <v>-1790679</v>
      </c>
      <c r="AF49" s="74">
        <v>-1900810</v>
      </c>
      <c r="AG49" s="74">
        <v>-2214849</v>
      </c>
      <c r="AH49" s="74">
        <v>-2710998</v>
      </c>
      <c r="AI49" s="75">
        <v>-8617335</v>
      </c>
      <c r="AJ49" s="74">
        <v>-2883728</v>
      </c>
      <c r="AK49" s="74">
        <v>-3000600</v>
      </c>
      <c r="AL49" s="74">
        <v>-3403129</v>
      </c>
      <c r="AM49" s="74">
        <v>-3949890</v>
      </c>
      <c r="AN49" s="75">
        <v>-13237347</v>
      </c>
      <c r="AO49" s="27"/>
      <c r="AP49" s="27"/>
      <c r="AQ49" s="27"/>
      <c r="AR49" s="27"/>
      <c r="AS49" s="27"/>
      <c r="AT49" s="27"/>
      <c r="AU49" s="27"/>
      <c r="AV49" s="27"/>
      <c r="AW49" s="27"/>
      <c r="AX49" s="27"/>
      <c r="AY49" s="27"/>
      <c r="AZ49" s="27"/>
    </row>
    <row r="50" spans="1:52" ht="15.75" customHeight="1" x14ac:dyDescent="0.2">
      <c r="A50" s="27"/>
      <c r="B50" s="61" t="s">
        <v>497</v>
      </c>
      <c r="C50" s="61"/>
      <c r="D50" s="61"/>
      <c r="E50" s="61"/>
      <c r="F50" s="82">
        <f t="shared" ref="F50:AN50" si="12">+SUM(F48:F49)</f>
        <v>-783.07</v>
      </c>
      <c r="G50" s="82">
        <f t="shared" si="12"/>
        <v>-821.61999999999989</v>
      </c>
      <c r="H50" s="82">
        <f t="shared" si="12"/>
        <v>-7693.7000000000007</v>
      </c>
      <c r="I50" s="82">
        <f t="shared" si="12"/>
        <v>-19382.449999999997</v>
      </c>
      <c r="J50" s="83">
        <f t="shared" si="12"/>
        <v>-28680.84</v>
      </c>
      <c r="K50" s="82">
        <f t="shared" si="12"/>
        <v>-18428.219999999998</v>
      </c>
      <c r="L50" s="82">
        <f t="shared" si="12"/>
        <v>-22969.11</v>
      </c>
      <c r="M50" s="82">
        <f t="shared" si="12"/>
        <v>-41147.680000000008</v>
      </c>
      <c r="N50" s="82">
        <f t="shared" si="12"/>
        <v>-93582.75</v>
      </c>
      <c r="O50" s="83">
        <f t="shared" si="12"/>
        <v>-176127.76</v>
      </c>
      <c r="P50" s="82">
        <f t="shared" si="12"/>
        <v>-228756.93</v>
      </c>
      <c r="Q50" s="82">
        <f t="shared" si="12"/>
        <v>-377675.48</v>
      </c>
      <c r="R50" s="82">
        <f t="shared" si="12"/>
        <v>-592770.82999999996</v>
      </c>
      <c r="S50" s="82">
        <f t="shared" si="12"/>
        <v>-819545.72</v>
      </c>
      <c r="T50" s="83">
        <f t="shared" si="12"/>
        <v>-2018748.96</v>
      </c>
      <c r="U50" s="82">
        <f t="shared" si="12"/>
        <v>-1041717.9299999999</v>
      </c>
      <c r="V50" s="82">
        <f t="shared" si="12"/>
        <v>-1198484</v>
      </c>
      <c r="W50" s="84">
        <f t="shared" si="12"/>
        <v>-1177966</v>
      </c>
      <c r="X50" s="82">
        <f t="shared" si="12"/>
        <v>-1256840</v>
      </c>
      <c r="Y50" s="83">
        <f t="shared" si="12"/>
        <v>-4675007.93</v>
      </c>
      <c r="Z50" s="82">
        <f t="shared" si="12"/>
        <v>-1570634</v>
      </c>
      <c r="AA50" s="82">
        <f t="shared" si="12"/>
        <v>-1599938</v>
      </c>
      <c r="AB50" s="82">
        <f t="shared" si="12"/>
        <v>-1627034</v>
      </c>
      <c r="AC50" s="82">
        <f t="shared" si="12"/>
        <v>-1654317</v>
      </c>
      <c r="AD50" s="83">
        <f t="shared" si="12"/>
        <v>-6451922</v>
      </c>
      <c r="AE50" s="82">
        <f t="shared" si="12"/>
        <v>-2034091</v>
      </c>
      <c r="AF50" s="82">
        <f t="shared" si="12"/>
        <v>-2197166</v>
      </c>
      <c r="AG50" s="82">
        <f t="shared" si="12"/>
        <v>-2575474</v>
      </c>
      <c r="AH50" s="82">
        <f t="shared" si="12"/>
        <v>-3149809</v>
      </c>
      <c r="AI50" s="83">
        <f t="shared" si="12"/>
        <v>-9956540</v>
      </c>
      <c r="AJ50" s="82">
        <f t="shared" si="12"/>
        <v>-3399852</v>
      </c>
      <c r="AK50" s="82">
        <f t="shared" si="12"/>
        <v>-3598291</v>
      </c>
      <c r="AL50" s="82">
        <f t="shared" si="12"/>
        <v>-4095361</v>
      </c>
      <c r="AM50" s="82">
        <f t="shared" si="12"/>
        <v>-4751658</v>
      </c>
      <c r="AN50" s="83">
        <f t="shared" si="12"/>
        <v>-15845162</v>
      </c>
      <c r="AO50" s="27"/>
      <c r="AP50" s="27"/>
      <c r="AQ50" s="27"/>
      <c r="AR50" s="27"/>
      <c r="AS50" s="27"/>
      <c r="AT50" s="27"/>
      <c r="AU50" s="27"/>
      <c r="AV50" s="27"/>
      <c r="AW50" s="27"/>
      <c r="AX50" s="27"/>
      <c r="AY50" s="27"/>
      <c r="AZ50" s="27"/>
    </row>
    <row r="51" spans="1:52" ht="15.75" customHeight="1" x14ac:dyDescent="0.2">
      <c r="A51" s="27"/>
      <c r="B51" s="61" t="s">
        <v>498</v>
      </c>
      <c r="C51" s="61"/>
      <c r="D51" s="61"/>
      <c r="E51" s="61"/>
      <c r="F51" s="82">
        <f t="shared" ref="F51:AN51" si="13">+F46+F50</f>
        <v>28234.93</v>
      </c>
      <c r="G51" s="82">
        <f t="shared" si="13"/>
        <v>23516.38</v>
      </c>
      <c r="H51" s="82">
        <f t="shared" si="13"/>
        <v>18364.3</v>
      </c>
      <c r="I51" s="82">
        <f t="shared" si="13"/>
        <v>27788.520000000004</v>
      </c>
      <c r="J51" s="83">
        <f t="shared" si="13"/>
        <v>97904.13</v>
      </c>
      <c r="K51" s="82">
        <f t="shared" si="13"/>
        <v>56402.179999999993</v>
      </c>
      <c r="L51" s="82">
        <f t="shared" si="13"/>
        <v>114339.98</v>
      </c>
      <c r="M51" s="82">
        <f t="shared" si="13"/>
        <v>311796.63</v>
      </c>
      <c r="N51" s="82">
        <f t="shared" si="13"/>
        <v>294472.23</v>
      </c>
      <c r="O51" s="83">
        <f t="shared" si="13"/>
        <v>777011.02</v>
      </c>
      <c r="P51" s="82">
        <f t="shared" si="13"/>
        <v>323944.38999999996</v>
      </c>
      <c r="Q51" s="82">
        <f t="shared" si="13"/>
        <v>470896.68000000005</v>
      </c>
      <c r="R51" s="82">
        <f t="shared" si="13"/>
        <v>446685.64000000013</v>
      </c>
      <c r="S51" s="82">
        <f t="shared" si="13"/>
        <v>620661</v>
      </c>
      <c r="T51" s="83">
        <f t="shared" si="13"/>
        <v>1862187.71</v>
      </c>
      <c r="U51" s="82">
        <f t="shared" si="13"/>
        <v>858401.66999999993</v>
      </c>
      <c r="V51" s="82">
        <f t="shared" si="13"/>
        <v>1013112</v>
      </c>
      <c r="W51" s="84">
        <f t="shared" si="13"/>
        <v>1604633</v>
      </c>
      <c r="X51" s="82">
        <f t="shared" si="13"/>
        <v>2337228</v>
      </c>
      <c r="Y51" s="83">
        <f t="shared" si="13"/>
        <v>5813374.6699999999</v>
      </c>
      <c r="Z51" s="82">
        <f t="shared" si="13"/>
        <v>2991194</v>
      </c>
      <c r="AA51" s="82">
        <f t="shared" si="13"/>
        <v>3985923</v>
      </c>
      <c r="AB51" s="82">
        <f t="shared" si="13"/>
        <v>4936829</v>
      </c>
      <c r="AC51" s="82">
        <f t="shared" si="13"/>
        <v>5914258</v>
      </c>
      <c r="AD51" s="83">
        <f t="shared" si="13"/>
        <v>17828205</v>
      </c>
      <c r="AE51" s="82">
        <f t="shared" si="13"/>
        <v>7036779</v>
      </c>
      <c r="AF51" s="82">
        <f t="shared" si="13"/>
        <v>8864465</v>
      </c>
      <c r="AG51" s="82">
        <f t="shared" si="13"/>
        <v>10886460</v>
      </c>
      <c r="AH51" s="82">
        <f t="shared" si="13"/>
        <v>13230257</v>
      </c>
      <c r="AI51" s="83">
        <f t="shared" si="13"/>
        <v>40017962</v>
      </c>
      <c r="AJ51" s="82">
        <f t="shared" si="13"/>
        <v>15840650</v>
      </c>
      <c r="AK51" s="82">
        <f t="shared" si="13"/>
        <v>18669317</v>
      </c>
      <c r="AL51" s="82">
        <f t="shared" si="13"/>
        <v>21687583</v>
      </c>
      <c r="AM51" s="82">
        <f t="shared" si="13"/>
        <v>25107256</v>
      </c>
      <c r="AN51" s="83">
        <f t="shared" si="13"/>
        <v>81304806</v>
      </c>
      <c r="AO51" s="27"/>
      <c r="AP51" s="27"/>
      <c r="AQ51" s="27"/>
      <c r="AR51" s="27"/>
      <c r="AS51" s="27"/>
      <c r="AT51" s="27"/>
      <c r="AU51" s="27"/>
      <c r="AV51" s="27"/>
      <c r="AW51" s="27"/>
      <c r="AX51" s="27"/>
      <c r="AY51" s="27"/>
      <c r="AZ51" s="27"/>
    </row>
    <row r="52" spans="1:52" ht="15.75" customHeight="1" x14ac:dyDescent="0.2">
      <c r="A52" s="27"/>
      <c r="B52" s="85" t="s">
        <v>499</v>
      </c>
      <c r="C52" s="85"/>
      <c r="D52" s="85"/>
      <c r="E52" s="85"/>
      <c r="F52" s="86">
        <f>+F51/F44</f>
        <v>0.9730143359294231</v>
      </c>
      <c r="G52" s="86">
        <f>+G51/G46</f>
        <v>0.96624126879776484</v>
      </c>
      <c r="H52" s="86">
        <f t="shared" ref="H52:AN52" si="14">+H51/H44</f>
        <v>0.70474710261723839</v>
      </c>
      <c r="I52" s="86">
        <f t="shared" si="14"/>
        <v>0.5891021532947065</v>
      </c>
      <c r="J52" s="87">
        <f t="shared" si="14"/>
        <v>0.77342618163909982</v>
      </c>
      <c r="K52" s="86">
        <f t="shared" si="14"/>
        <v>0.75373350937586858</v>
      </c>
      <c r="L52" s="86">
        <f t="shared" si="14"/>
        <v>0.8327196691784936</v>
      </c>
      <c r="M52" s="86">
        <f t="shared" si="14"/>
        <v>1.2085302771889888</v>
      </c>
      <c r="N52" s="86">
        <f t="shared" si="14"/>
        <v>0.76874664310590612</v>
      </c>
      <c r="O52" s="87">
        <f t="shared" si="14"/>
        <v>0.91071168225272325</v>
      </c>
      <c r="P52" s="86">
        <f t="shared" si="14"/>
        <v>0.59636156627896264</v>
      </c>
      <c r="Q52" s="86">
        <f t="shared" si="14"/>
        <v>0.56564563925939471</v>
      </c>
      <c r="R52" s="86">
        <f t="shared" si="14"/>
        <v>0.44007111588697168</v>
      </c>
      <c r="S52" s="86">
        <f t="shared" si="14"/>
        <v>0.44045126389708572</v>
      </c>
      <c r="T52" s="87">
        <f t="shared" si="14"/>
        <v>0.49006564691355553</v>
      </c>
      <c r="U52" s="86">
        <f t="shared" si="14"/>
        <v>0.48231295966220722</v>
      </c>
      <c r="V52" s="86">
        <f t="shared" si="14"/>
        <v>0.47720997272714427</v>
      </c>
      <c r="W52" s="88">
        <f t="shared" si="14"/>
        <v>0.5897480189306471</v>
      </c>
      <c r="X52" s="86">
        <f t="shared" si="14"/>
        <v>0.66001762134441821</v>
      </c>
      <c r="Y52" s="87">
        <f t="shared" si="14"/>
        <v>0.57191292871740207</v>
      </c>
      <c r="Z52" s="86">
        <f t="shared" si="14"/>
        <v>0.66420011488961916</v>
      </c>
      <c r="AA52" s="86">
        <f t="shared" si="14"/>
        <v>0.72261728843592399</v>
      </c>
      <c r="AB52" s="86">
        <f t="shared" si="14"/>
        <v>0.75620196698972941</v>
      </c>
      <c r="AC52" s="86">
        <f t="shared" si="14"/>
        <v>0.78428522230545661</v>
      </c>
      <c r="AD52" s="87">
        <f t="shared" si="14"/>
        <v>0.74010312339188833</v>
      </c>
      <c r="AE52" s="86">
        <f t="shared" si="14"/>
        <v>0.7822298954378013</v>
      </c>
      <c r="AF52" s="86">
        <f t="shared" si="14"/>
        <v>0.80981788732117721</v>
      </c>
      <c r="AG52" s="86">
        <f t="shared" si="14"/>
        <v>0.81732689840100947</v>
      </c>
      <c r="AH52" s="86">
        <f t="shared" si="14"/>
        <v>0.8163036047464387</v>
      </c>
      <c r="AI52" s="87">
        <f t="shared" si="14"/>
        <v>0.80894783920888069</v>
      </c>
      <c r="AJ52" s="86">
        <f t="shared" si="14"/>
        <v>0.83056916506370948</v>
      </c>
      <c r="AK52" s="86">
        <f t="shared" si="14"/>
        <v>0.84511380731542241</v>
      </c>
      <c r="AL52" s="86">
        <f t="shared" si="14"/>
        <v>0.84758232147209844</v>
      </c>
      <c r="AM52" s="86">
        <f t="shared" si="14"/>
        <v>0.84713754981989864</v>
      </c>
      <c r="AN52" s="87">
        <f t="shared" si="14"/>
        <v>0.84351347226143858</v>
      </c>
      <c r="AO52" s="27"/>
      <c r="AP52" s="27"/>
      <c r="AQ52" s="27"/>
      <c r="AR52" s="27"/>
      <c r="AS52" s="27"/>
      <c r="AT52" s="27"/>
      <c r="AU52" s="27"/>
      <c r="AV52" s="27"/>
      <c r="AW52" s="27"/>
      <c r="AX52" s="27"/>
      <c r="AY52" s="27"/>
      <c r="AZ52" s="27"/>
    </row>
    <row r="53" spans="1:52" ht="15.75" customHeight="1" x14ac:dyDescent="0.2">
      <c r="A53" s="27"/>
      <c r="B53" s="78" t="s">
        <v>500</v>
      </c>
      <c r="C53" s="78"/>
      <c r="D53" s="78"/>
      <c r="E53" s="78"/>
      <c r="F53" s="79"/>
      <c r="G53" s="79"/>
      <c r="H53" s="79"/>
      <c r="I53" s="79"/>
      <c r="J53" s="80"/>
      <c r="K53" s="79"/>
      <c r="L53" s="79"/>
      <c r="M53" s="79"/>
      <c r="N53" s="79"/>
      <c r="O53" s="80"/>
      <c r="P53" s="79"/>
      <c r="Q53" s="79"/>
      <c r="R53" s="79"/>
      <c r="S53" s="79"/>
      <c r="T53" s="80"/>
      <c r="U53" s="79"/>
      <c r="V53" s="79"/>
      <c r="W53" s="81"/>
      <c r="X53" s="79"/>
      <c r="Y53" s="80"/>
      <c r="Z53" s="79"/>
      <c r="AA53" s="79"/>
      <c r="AB53" s="79"/>
      <c r="AC53" s="79"/>
      <c r="AD53" s="80"/>
      <c r="AE53" s="79"/>
      <c r="AF53" s="79"/>
      <c r="AG53" s="79"/>
      <c r="AH53" s="79"/>
      <c r="AI53" s="80"/>
      <c r="AJ53" s="79"/>
      <c r="AK53" s="79"/>
      <c r="AL53" s="79"/>
      <c r="AM53" s="79"/>
      <c r="AN53" s="80"/>
      <c r="AO53" s="27"/>
      <c r="AP53" s="27"/>
      <c r="AQ53" s="27"/>
      <c r="AR53" s="27"/>
      <c r="AS53" s="27"/>
      <c r="AT53" s="27"/>
      <c r="AU53" s="27"/>
      <c r="AV53" s="27"/>
      <c r="AW53" s="27"/>
      <c r="AX53" s="27"/>
      <c r="AY53" s="27"/>
      <c r="AZ53" s="27"/>
    </row>
    <row r="54" spans="1:52" ht="15.75" customHeight="1" x14ac:dyDescent="0.2">
      <c r="A54" s="27"/>
      <c r="B54" s="50" t="s">
        <v>501</v>
      </c>
      <c r="C54" s="50"/>
      <c r="D54" s="50"/>
      <c r="E54" s="50"/>
      <c r="F54" s="74">
        <v>0</v>
      </c>
      <c r="G54" s="74">
        <v>-11100</v>
      </c>
      <c r="H54" s="74">
        <v>-38804.93</v>
      </c>
      <c r="I54" s="74">
        <v>-100718.13999999998</v>
      </c>
      <c r="J54" s="75">
        <v>-150623.06999999998</v>
      </c>
      <c r="K54" s="74">
        <v>-131704.74</v>
      </c>
      <c r="L54" s="74">
        <v>-224656.72999999998</v>
      </c>
      <c r="M54" s="74">
        <v>-298697.08999999997</v>
      </c>
      <c r="N54" s="74">
        <v>-511006.49000000005</v>
      </c>
      <c r="O54" s="75">
        <v>-1166065.05</v>
      </c>
      <c r="P54" s="74">
        <v>-642782.03</v>
      </c>
      <c r="Q54" s="74">
        <v>-1036000.0399999998</v>
      </c>
      <c r="R54" s="74">
        <v>-1576745.08</v>
      </c>
      <c r="S54" s="74">
        <v>-2300018.7799999998</v>
      </c>
      <c r="T54" s="75">
        <v>-5555545.9299999997</v>
      </c>
      <c r="U54" s="74">
        <v>-2726401.52</v>
      </c>
      <c r="V54" s="74">
        <v>-3800192</v>
      </c>
      <c r="W54" s="76">
        <v>-3824157</v>
      </c>
      <c r="X54" s="74">
        <v>-4081317</v>
      </c>
      <c r="Y54" s="75">
        <f>SUM(U54:X54)</f>
        <v>-14432067.52</v>
      </c>
      <c r="Z54" s="74">
        <v>-4134348</v>
      </c>
      <c r="AA54" s="74">
        <v>-4140439</v>
      </c>
      <c r="AB54" s="74">
        <v>-4140439</v>
      </c>
      <c r="AC54" s="74">
        <v>-4340439</v>
      </c>
      <c r="AD54" s="75">
        <v>-16755666</v>
      </c>
      <c r="AE54" s="74">
        <v>-4943175</v>
      </c>
      <c r="AF54" s="74">
        <v>-5613740</v>
      </c>
      <c r="AG54" s="74">
        <v>-6346306</v>
      </c>
      <c r="AH54" s="74">
        <v>-7107271</v>
      </c>
      <c r="AI54" s="75">
        <v>-24010491</v>
      </c>
      <c r="AJ54" s="74">
        <v>-7980484</v>
      </c>
      <c r="AK54" s="74">
        <v>-8820209</v>
      </c>
      <c r="AL54" s="74">
        <v>-9759381</v>
      </c>
      <c r="AM54" s="74">
        <v>-10509529</v>
      </c>
      <c r="AN54" s="75">
        <v>-37069602</v>
      </c>
      <c r="AO54" s="27"/>
      <c r="AP54" s="27"/>
      <c r="AQ54" s="27"/>
      <c r="AR54" s="27"/>
      <c r="AS54" s="27"/>
      <c r="AT54" s="27"/>
      <c r="AU54" s="27"/>
      <c r="AV54" s="27"/>
      <c r="AW54" s="27"/>
      <c r="AX54" s="27"/>
      <c r="AY54" s="27"/>
      <c r="AZ54" s="27"/>
    </row>
    <row r="55" spans="1:52" ht="15.75" customHeight="1" x14ac:dyDescent="0.2">
      <c r="A55" s="27"/>
      <c r="B55" s="50" t="s">
        <v>502</v>
      </c>
      <c r="C55" s="50"/>
      <c r="D55" s="50"/>
      <c r="E55" s="50"/>
      <c r="F55" s="74">
        <v>-695</v>
      </c>
      <c r="G55" s="74">
        <v>0</v>
      </c>
      <c r="H55" s="74">
        <v>-22133.27</v>
      </c>
      <c r="I55" s="74">
        <v>-118566.93000000001</v>
      </c>
      <c r="J55" s="75">
        <v>-141395.20000000001</v>
      </c>
      <c r="K55" s="74">
        <v>-206767.97999999998</v>
      </c>
      <c r="L55" s="74">
        <v>-310958.90000000002</v>
      </c>
      <c r="M55" s="74">
        <v>-465400.76999999996</v>
      </c>
      <c r="N55" s="74">
        <v>-589210.72</v>
      </c>
      <c r="O55" s="75">
        <v>-1572338.3699999999</v>
      </c>
      <c r="P55" s="74">
        <v>-828387.49</v>
      </c>
      <c r="Q55" s="74">
        <v>-1261948.73</v>
      </c>
      <c r="R55" s="74">
        <v>-1779586.96</v>
      </c>
      <c r="S55" s="74">
        <v>-2504257.9700000002</v>
      </c>
      <c r="T55" s="75">
        <v>-6374181.1500000004</v>
      </c>
      <c r="U55" s="74">
        <v>-2739317.31</v>
      </c>
      <c r="V55" s="74">
        <v>-3616073</v>
      </c>
      <c r="W55" s="76">
        <v>-3586371</v>
      </c>
      <c r="X55" s="74">
        <v>-3643416</v>
      </c>
      <c r="Y55" s="75">
        <f>SUM(U55:X55)</f>
        <v>-13585177.310000001</v>
      </c>
      <c r="Z55" s="74">
        <v>-4447344</v>
      </c>
      <c r="AA55" s="74">
        <v>-4378752</v>
      </c>
      <c r="AB55" s="74">
        <v>-4456772</v>
      </c>
      <c r="AC55" s="74">
        <v>-4718603</v>
      </c>
      <c r="AD55" s="75">
        <v>-18001471</v>
      </c>
      <c r="AE55" s="74">
        <v>-5648594</v>
      </c>
      <c r="AF55" s="74">
        <v>-6201800</v>
      </c>
      <c r="AG55" s="74">
        <v>-7275011</v>
      </c>
      <c r="AH55" s="74">
        <v>-8443711</v>
      </c>
      <c r="AI55" s="75">
        <v>-27569115</v>
      </c>
      <c r="AJ55" s="74">
        <v>-10176293</v>
      </c>
      <c r="AK55" s="74">
        <v>-11652604</v>
      </c>
      <c r="AL55" s="74">
        <v>-13357137</v>
      </c>
      <c r="AM55" s="74">
        <v>-15310195</v>
      </c>
      <c r="AN55" s="75">
        <v>-50496228</v>
      </c>
      <c r="AO55" s="27"/>
      <c r="AP55" s="27"/>
      <c r="AQ55" s="27"/>
      <c r="AR55" s="27"/>
      <c r="AS55" s="27"/>
      <c r="AT55" s="27"/>
      <c r="AU55" s="27"/>
      <c r="AV55" s="27"/>
      <c r="AW55" s="27"/>
      <c r="AX55" s="27"/>
      <c r="AY55" s="27"/>
      <c r="AZ55" s="27"/>
    </row>
    <row r="56" spans="1:52" ht="15.75" customHeight="1" x14ac:dyDescent="0.2">
      <c r="A56" s="27"/>
      <c r="B56" s="50" t="s">
        <v>503</v>
      </c>
      <c r="C56" s="50"/>
      <c r="D56" s="50"/>
      <c r="E56" s="50"/>
      <c r="F56" s="74">
        <v>-3493.0899999999997</v>
      </c>
      <c r="G56" s="74">
        <v>-5024.6900000000005</v>
      </c>
      <c r="H56" s="74">
        <v>-51806.53</v>
      </c>
      <c r="I56" s="74">
        <v>-146322.91</v>
      </c>
      <c r="J56" s="75">
        <v>-206647.22</v>
      </c>
      <c r="K56" s="74">
        <v>-221085.05</v>
      </c>
      <c r="L56" s="74">
        <v>-316318.5</v>
      </c>
      <c r="M56" s="74">
        <v>-359837.57999999996</v>
      </c>
      <c r="N56" s="74">
        <v>-607989.79</v>
      </c>
      <c r="O56" s="75">
        <v>-1505230.92</v>
      </c>
      <c r="P56" s="74">
        <v>-869575.23</v>
      </c>
      <c r="Q56" s="74">
        <v>-1214527.32</v>
      </c>
      <c r="R56" s="74">
        <v>-1566089.89</v>
      </c>
      <c r="S56" s="74">
        <v>-1790161.48</v>
      </c>
      <c r="T56" s="75">
        <v>-5440353.9199999999</v>
      </c>
      <c r="U56" s="74">
        <v>-2201704.42</v>
      </c>
      <c r="V56" s="74">
        <v>-3081016</v>
      </c>
      <c r="W56" s="76">
        <v>-2817598</v>
      </c>
      <c r="X56" s="74">
        <v>-2447375</v>
      </c>
      <c r="Y56" s="75">
        <f>SUM(U56:X56)</f>
        <v>-10547693.42</v>
      </c>
      <c r="Z56" s="74">
        <v>-2523219</v>
      </c>
      <c r="AA56" s="74">
        <v>-2656363</v>
      </c>
      <c r="AB56" s="74">
        <v>-2644825</v>
      </c>
      <c r="AC56" s="74">
        <v>-2857329</v>
      </c>
      <c r="AD56" s="75">
        <v>-10681736</v>
      </c>
      <c r="AE56" s="74">
        <v>-3604199</v>
      </c>
      <c r="AF56" s="74">
        <v>-4287534</v>
      </c>
      <c r="AG56" s="74">
        <v>-4802345</v>
      </c>
      <c r="AH56" s="74">
        <v>-5292392</v>
      </c>
      <c r="AI56" s="75">
        <v>-17986470</v>
      </c>
      <c r="AJ56" s="74">
        <v>-6158042</v>
      </c>
      <c r="AK56" s="74">
        <v>-6896546</v>
      </c>
      <c r="AL56" s="74">
        <v>-7429097</v>
      </c>
      <c r="AM56" s="74">
        <v>-7992897</v>
      </c>
      <c r="AN56" s="75">
        <v>-28476581</v>
      </c>
      <c r="AO56" s="27"/>
      <c r="AP56" s="27"/>
      <c r="AQ56" s="27"/>
      <c r="AR56" s="27"/>
      <c r="AS56" s="27"/>
      <c r="AT56" s="27"/>
      <c r="AU56" s="27"/>
      <c r="AV56" s="27"/>
      <c r="AW56" s="27"/>
      <c r="AX56" s="27"/>
      <c r="AY56" s="27"/>
      <c r="AZ56" s="27"/>
    </row>
    <row r="57" spans="1:52" ht="15.75" customHeight="1" x14ac:dyDescent="0.2">
      <c r="A57" s="27"/>
      <c r="B57" s="61" t="s">
        <v>504</v>
      </c>
      <c r="C57" s="61"/>
      <c r="D57" s="61"/>
      <c r="E57" s="61"/>
      <c r="F57" s="82">
        <f t="shared" ref="F57:AN57" si="15">+F54+F55+F56</f>
        <v>-4188.09</v>
      </c>
      <c r="G57" s="82">
        <f t="shared" si="15"/>
        <v>-16124.69</v>
      </c>
      <c r="H57" s="82">
        <f t="shared" si="15"/>
        <v>-112744.73</v>
      </c>
      <c r="I57" s="82">
        <f t="shared" si="15"/>
        <v>-365607.98</v>
      </c>
      <c r="J57" s="83">
        <f t="shared" si="15"/>
        <v>-498665.49</v>
      </c>
      <c r="K57" s="82">
        <f t="shared" si="15"/>
        <v>-559557.77</v>
      </c>
      <c r="L57" s="82">
        <f t="shared" si="15"/>
        <v>-851934.13</v>
      </c>
      <c r="M57" s="82">
        <f t="shared" si="15"/>
        <v>-1123935.44</v>
      </c>
      <c r="N57" s="82">
        <f t="shared" si="15"/>
        <v>-1708207</v>
      </c>
      <c r="O57" s="83">
        <f t="shared" si="15"/>
        <v>-4243634.34</v>
      </c>
      <c r="P57" s="82">
        <f t="shared" si="15"/>
        <v>-2340744.75</v>
      </c>
      <c r="Q57" s="82">
        <f t="shared" si="15"/>
        <v>-3512476.09</v>
      </c>
      <c r="R57" s="82">
        <f t="shared" si="15"/>
        <v>-4922421.93</v>
      </c>
      <c r="S57" s="82">
        <f t="shared" si="15"/>
        <v>-6594438.2300000004</v>
      </c>
      <c r="T57" s="83">
        <f t="shared" si="15"/>
        <v>-17370081</v>
      </c>
      <c r="U57" s="82">
        <f t="shared" si="15"/>
        <v>-7667423.25</v>
      </c>
      <c r="V57" s="82">
        <f t="shared" si="15"/>
        <v>-10497281</v>
      </c>
      <c r="W57" s="84">
        <f t="shared" si="15"/>
        <v>-10228126</v>
      </c>
      <c r="X57" s="82">
        <f t="shared" si="15"/>
        <v>-10172108</v>
      </c>
      <c r="Y57" s="83">
        <f t="shared" si="15"/>
        <v>-38564938.25</v>
      </c>
      <c r="Z57" s="82">
        <f t="shared" si="15"/>
        <v>-11104911</v>
      </c>
      <c r="AA57" s="82">
        <f t="shared" si="15"/>
        <v>-11175554</v>
      </c>
      <c r="AB57" s="82">
        <f t="shared" si="15"/>
        <v>-11242036</v>
      </c>
      <c r="AC57" s="82">
        <f t="shared" si="15"/>
        <v>-11916371</v>
      </c>
      <c r="AD57" s="83">
        <f t="shared" si="15"/>
        <v>-45438873</v>
      </c>
      <c r="AE57" s="82">
        <f t="shared" si="15"/>
        <v>-14195968</v>
      </c>
      <c r="AF57" s="82">
        <f t="shared" si="15"/>
        <v>-16103074</v>
      </c>
      <c r="AG57" s="82">
        <f t="shared" si="15"/>
        <v>-18423662</v>
      </c>
      <c r="AH57" s="82">
        <f t="shared" si="15"/>
        <v>-20843374</v>
      </c>
      <c r="AI57" s="83">
        <f t="shared" si="15"/>
        <v>-69566076</v>
      </c>
      <c r="AJ57" s="82">
        <f t="shared" si="15"/>
        <v>-24314819</v>
      </c>
      <c r="AK57" s="82">
        <f t="shared" si="15"/>
        <v>-27369359</v>
      </c>
      <c r="AL57" s="82">
        <f t="shared" si="15"/>
        <v>-30545615</v>
      </c>
      <c r="AM57" s="82">
        <f t="shared" si="15"/>
        <v>-33812621</v>
      </c>
      <c r="AN57" s="83">
        <f t="shared" si="15"/>
        <v>-116042411</v>
      </c>
      <c r="AO57" s="27"/>
      <c r="AP57" s="27"/>
      <c r="AQ57" s="27"/>
      <c r="AR57" s="27"/>
      <c r="AS57" s="27"/>
      <c r="AT57" s="27"/>
      <c r="AU57" s="27"/>
      <c r="AV57" s="27"/>
      <c r="AW57" s="27"/>
      <c r="AX57" s="27"/>
      <c r="AY57" s="27"/>
      <c r="AZ57" s="27"/>
    </row>
    <row r="58" spans="1:52" ht="15.75" customHeight="1" x14ac:dyDescent="0.2">
      <c r="A58" s="27"/>
      <c r="B58" s="61" t="s">
        <v>505</v>
      </c>
      <c r="C58" s="61"/>
      <c r="D58" s="61"/>
      <c r="E58" s="61"/>
      <c r="F58" s="82">
        <f t="shared" ref="F58:AN58" si="16">+F51+F57</f>
        <v>24046.84</v>
      </c>
      <c r="G58" s="82">
        <f t="shared" si="16"/>
        <v>7391.6900000000005</v>
      </c>
      <c r="H58" s="82">
        <f t="shared" si="16"/>
        <v>-94380.43</v>
      </c>
      <c r="I58" s="82">
        <f t="shared" si="16"/>
        <v>-337819.45999999996</v>
      </c>
      <c r="J58" s="83">
        <f t="shared" si="16"/>
        <v>-400761.36</v>
      </c>
      <c r="K58" s="82">
        <f t="shared" si="16"/>
        <v>-503155.59</v>
      </c>
      <c r="L58" s="82">
        <f t="shared" si="16"/>
        <v>-737594.15</v>
      </c>
      <c r="M58" s="82">
        <f t="shared" si="16"/>
        <v>-812138.80999999994</v>
      </c>
      <c r="N58" s="82">
        <f t="shared" si="16"/>
        <v>-1413734.77</v>
      </c>
      <c r="O58" s="83">
        <f t="shared" si="16"/>
        <v>-3466623.32</v>
      </c>
      <c r="P58" s="82">
        <f t="shared" si="16"/>
        <v>-2016800.36</v>
      </c>
      <c r="Q58" s="82">
        <f t="shared" si="16"/>
        <v>-3041579.4099999997</v>
      </c>
      <c r="R58" s="82">
        <f t="shared" si="16"/>
        <v>-4475736.2899999991</v>
      </c>
      <c r="S58" s="82">
        <f t="shared" si="16"/>
        <v>-5973777.2300000004</v>
      </c>
      <c r="T58" s="83">
        <f t="shared" si="16"/>
        <v>-15507893.289999999</v>
      </c>
      <c r="U58" s="82">
        <f t="shared" si="16"/>
        <v>-6809021.5800000001</v>
      </c>
      <c r="V58" s="82">
        <f t="shared" si="16"/>
        <v>-9484169</v>
      </c>
      <c r="W58" s="84">
        <f t="shared" si="16"/>
        <v>-8623493</v>
      </c>
      <c r="X58" s="82">
        <f t="shared" si="16"/>
        <v>-7834880</v>
      </c>
      <c r="Y58" s="83">
        <f t="shared" si="16"/>
        <v>-32751563.579999998</v>
      </c>
      <c r="Z58" s="82">
        <f t="shared" si="16"/>
        <v>-8113717</v>
      </c>
      <c r="AA58" s="82">
        <f t="shared" si="16"/>
        <v>-7189631</v>
      </c>
      <c r="AB58" s="82">
        <f t="shared" si="16"/>
        <v>-6305207</v>
      </c>
      <c r="AC58" s="82">
        <f t="shared" si="16"/>
        <v>-6002113</v>
      </c>
      <c r="AD58" s="83">
        <f t="shared" si="16"/>
        <v>-27610668</v>
      </c>
      <c r="AE58" s="82">
        <f t="shared" si="16"/>
        <v>-7159189</v>
      </c>
      <c r="AF58" s="82">
        <f t="shared" si="16"/>
        <v>-7238609</v>
      </c>
      <c r="AG58" s="82">
        <f t="shared" si="16"/>
        <v>-7537202</v>
      </c>
      <c r="AH58" s="82">
        <f t="shared" si="16"/>
        <v>-7613117</v>
      </c>
      <c r="AI58" s="83">
        <f t="shared" si="16"/>
        <v>-29548114</v>
      </c>
      <c r="AJ58" s="82">
        <f t="shared" si="16"/>
        <v>-8474169</v>
      </c>
      <c r="AK58" s="82">
        <f t="shared" si="16"/>
        <v>-8700042</v>
      </c>
      <c r="AL58" s="82">
        <f t="shared" si="16"/>
        <v>-8858032</v>
      </c>
      <c r="AM58" s="82">
        <f t="shared" si="16"/>
        <v>-8705365</v>
      </c>
      <c r="AN58" s="83">
        <f t="shared" si="16"/>
        <v>-34737605</v>
      </c>
      <c r="AO58" s="27"/>
      <c r="AP58" s="27"/>
      <c r="AQ58" s="27"/>
      <c r="AR58" s="27"/>
      <c r="AS58" s="27"/>
      <c r="AT58" s="27"/>
      <c r="AU58" s="27"/>
      <c r="AV58" s="27"/>
      <c r="AW58" s="27"/>
      <c r="AX58" s="27"/>
      <c r="AY58" s="27"/>
      <c r="AZ58" s="27"/>
    </row>
    <row r="59" spans="1:52" ht="15.75" customHeight="1" x14ac:dyDescent="0.2">
      <c r="A59" s="27"/>
      <c r="B59" s="50" t="s">
        <v>506</v>
      </c>
      <c r="C59" s="50"/>
      <c r="D59" s="50"/>
      <c r="E59" s="50"/>
      <c r="F59" s="74">
        <v>47.25</v>
      </c>
      <c r="G59" s="74">
        <v>200</v>
      </c>
      <c r="H59" s="74">
        <v>332.46000000000004</v>
      </c>
      <c r="I59" s="74">
        <v>505.30999999999995</v>
      </c>
      <c r="J59" s="75">
        <v>1085.02</v>
      </c>
      <c r="K59" s="74">
        <v>502.08000000000004</v>
      </c>
      <c r="L59" s="74">
        <v>1802.1999999999998</v>
      </c>
      <c r="M59" s="74">
        <v>1480.12</v>
      </c>
      <c r="N59" s="74">
        <v>897.07</v>
      </c>
      <c r="O59" s="75">
        <v>4681.4699999999993</v>
      </c>
      <c r="P59" s="74">
        <v>427.01000000000005</v>
      </c>
      <c r="Q59" s="74">
        <v>566.28</v>
      </c>
      <c r="R59" s="74">
        <v>1079.08</v>
      </c>
      <c r="S59" s="74">
        <v>951.4</v>
      </c>
      <c r="T59" s="75">
        <v>3023.77</v>
      </c>
      <c r="U59" s="74">
        <v>3832.65</v>
      </c>
      <c r="V59" s="74">
        <v>6882</v>
      </c>
      <c r="W59" s="76">
        <v>14533</v>
      </c>
      <c r="X59" s="74">
        <v>18771</v>
      </c>
      <c r="Y59" s="75">
        <f>SUM(U59:X59)</f>
        <v>44018.65</v>
      </c>
      <c r="Z59" s="74">
        <v>23825</v>
      </c>
      <c r="AA59" s="74">
        <v>29173</v>
      </c>
      <c r="AB59" s="74">
        <v>34281</v>
      </c>
      <c r="AC59" s="74">
        <v>39529</v>
      </c>
      <c r="AD59" s="75">
        <v>126808</v>
      </c>
      <c r="AE59" s="74">
        <v>47375</v>
      </c>
      <c r="AF59" s="74">
        <v>57772</v>
      </c>
      <c r="AG59" s="74">
        <v>70308</v>
      </c>
      <c r="AH59" s="74">
        <v>85549</v>
      </c>
      <c r="AI59" s="75">
        <v>261003</v>
      </c>
      <c r="AJ59" s="74">
        <v>100488</v>
      </c>
      <c r="AK59" s="74">
        <v>116298</v>
      </c>
      <c r="AL59" s="74">
        <v>134657</v>
      </c>
      <c r="AM59" s="74">
        <v>155945</v>
      </c>
      <c r="AN59" s="75">
        <v>507387</v>
      </c>
      <c r="AO59" s="27"/>
      <c r="AP59" s="27"/>
      <c r="AQ59" s="27"/>
      <c r="AR59" s="27"/>
      <c r="AS59" s="27"/>
      <c r="AT59" s="27"/>
      <c r="AU59" s="27"/>
      <c r="AV59" s="27"/>
      <c r="AW59" s="27"/>
      <c r="AX59" s="27"/>
      <c r="AY59" s="27"/>
      <c r="AZ59" s="27"/>
    </row>
    <row r="60" spans="1:52" ht="15.75" customHeight="1" thickBot="1" x14ac:dyDescent="0.25">
      <c r="A60" s="27"/>
      <c r="B60" s="89" t="s">
        <v>507</v>
      </c>
      <c r="C60" s="89"/>
      <c r="D60" s="89"/>
      <c r="E60" s="89"/>
      <c r="F60" s="90">
        <f t="shared" ref="F60:AN60" si="17">+F58+F59</f>
        <v>24094.09</v>
      </c>
      <c r="G60" s="90">
        <f t="shared" si="17"/>
        <v>7591.6900000000005</v>
      </c>
      <c r="H60" s="90">
        <f t="shared" si="17"/>
        <v>-94047.969999999987</v>
      </c>
      <c r="I60" s="90">
        <f t="shared" si="17"/>
        <v>-337314.14999999997</v>
      </c>
      <c r="J60" s="91">
        <f t="shared" si="17"/>
        <v>-399676.33999999997</v>
      </c>
      <c r="K60" s="90">
        <f t="shared" si="17"/>
        <v>-502653.51</v>
      </c>
      <c r="L60" s="90">
        <f t="shared" si="17"/>
        <v>-735791.95000000007</v>
      </c>
      <c r="M60" s="90">
        <f t="shared" si="17"/>
        <v>-810658.69</v>
      </c>
      <c r="N60" s="90">
        <f t="shared" si="17"/>
        <v>-1412837.7</v>
      </c>
      <c r="O60" s="91">
        <f t="shared" si="17"/>
        <v>-3461941.8499999996</v>
      </c>
      <c r="P60" s="90">
        <f t="shared" si="17"/>
        <v>-2016373.35</v>
      </c>
      <c r="Q60" s="90">
        <f t="shared" si="17"/>
        <v>-3041013.13</v>
      </c>
      <c r="R60" s="90">
        <f t="shared" si="17"/>
        <v>-4474657.209999999</v>
      </c>
      <c r="S60" s="90">
        <f t="shared" si="17"/>
        <v>-5972825.8300000001</v>
      </c>
      <c r="T60" s="91">
        <f t="shared" si="17"/>
        <v>-15504869.52</v>
      </c>
      <c r="U60" s="90">
        <f t="shared" si="17"/>
        <v>-6805188.9299999997</v>
      </c>
      <c r="V60" s="90">
        <f t="shared" si="17"/>
        <v>-9477287</v>
      </c>
      <c r="W60" s="92">
        <f t="shared" si="17"/>
        <v>-8608960</v>
      </c>
      <c r="X60" s="90">
        <f t="shared" si="17"/>
        <v>-7816109</v>
      </c>
      <c r="Y60" s="91">
        <f t="shared" si="17"/>
        <v>-32707544.93</v>
      </c>
      <c r="Z60" s="90">
        <f t="shared" si="17"/>
        <v>-8089892</v>
      </c>
      <c r="AA60" s="90">
        <f t="shared" si="17"/>
        <v>-7160458</v>
      </c>
      <c r="AB60" s="90">
        <f t="shared" si="17"/>
        <v>-6270926</v>
      </c>
      <c r="AC60" s="90">
        <f t="shared" si="17"/>
        <v>-5962584</v>
      </c>
      <c r="AD60" s="91">
        <f t="shared" si="17"/>
        <v>-27483860</v>
      </c>
      <c r="AE60" s="90">
        <f t="shared" si="17"/>
        <v>-7111814</v>
      </c>
      <c r="AF60" s="90">
        <f t="shared" si="17"/>
        <v>-7180837</v>
      </c>
      <c r="AG60" s="90">
        <f t="shared" si="17"/>
        <v>-7466894</v>
      </c>
      <c r="AH60" s="90">
        <f t="shared" si="17"/>
        <v>-7527568</v>
      </c>
      <c r="AI60" s="91">
        <f t="shared" si="17"/>
        <v>-29287111</v>
      </c>
      <c r="AJ60" s="90">
        <f t="shared" si="17"/>
        <v>-8373681</v>
      </c>
      <c r="AK60" s="90">
        <f t="shared" si="17"/>
        <v>-8583744</v>
      </c>
      <c r="AL60" s="90">
        <f t="shared" si="17"/>
        <v>-8723375</v>
      </c>
      <c r="AM60" s="90">
        <f t="shared" si="17"/>
        <v>-8549420</v>
      </c>
      <c r="AN60" s="91">
        <f t="shared" si="17"/>
        <v>-34230218</v>
      </c>
      <c r="AO60" s="27"/>
      <c r="AP60" s="27"/>
      <c r="AQ60" s="27"/>
      <c r="AR60" s="27"/>
      <c r="AS60" s="27"/>
      <c r="AT60" s="27"/>
      <c r="AU60" s="27"/>
      <c r="AV60" s="27"/>
      <c r="AW60" s="27"/>
      <c r="AX60" s="27"/>
      <c r="AY60" s="27"/>
      <c r="AZ60" s="27"/>
    </row>
    <row r="61" spans="1:52" ht="15.75" customHeight="1" thickTop="1" x14ac:dyDescent="0.2">
      <c r="A61" s="27"/>
      <c r="B61" s="65"/>
      <c r="C61" s="65"/>
      <c r="D61" s="65"/>
      <c r="E61" s="65"/>
      <c r="F61" s="93"/>
      <c r="G61" s="93"/>
      <c r="H61" s="93"/>
      <c r="I61" s="93"/>
      <c r="J61" s="94"/>
      <c r="K61" s="93"/>
      <c r="L61" s="93"/>
      <c r="M61" s="93"/>
      <c r="N61" s="93"/>
      <c r="O61" s="94"/>
      <c r="P61" s="93"/>
      <c r="Q61" s="93"/>
      <c r="R61" s="93"/>
      <c r="S61" s="93"/>
      <c r="T61" s="94"/>
      <c r="U61" s="93"/>
      <c r="V61" s="93"/>
      <c r="W61" s="95"/>
      <c r="X61" s="93"/>
      <c r="Y61" s="94"/>
      <c r="Z61" s="93"/>
      <c r="AA61" s="93"/>
      <c r="AB61" s="93"/>
      <c r="AC61" s="93"/>
      <c r="AD61" s="94"/>
      <c r="AE61" s="93"/>
      <c r="AF61" s="93"/>
      <c r="AG61" s="93"/>
      <c r="AH61" s="93"/>
      <c r="AI61" s="94"/>
      <c r="AJ61" s="93"/>
      <c r="AK61" s="93"/>
      <c r="AL61" s="93"/>
      <c r="AM61" s="93"/>
      <c r="AN61" s="94"/>
      <c r="AO61" s="27"/>
      <c r="AP61" s="27"/>
      <c r="AQ61" s="27"/>
      <c r="AR61" s="27"/>
      <c r="AS61" s="27"/>
      <c r="AT61" s="27"/>
      <c r="AU61" s="27"/>
      <c r="AV61" s="27"/>
      <c r="AW61" s="27"/>
      <c r="AX61" s="27"/>
      <c r="AY61" s="27"/>
      <c r="AZ61" s="27"/>
    </row>
    <row r="62" spans="1:52" ht="15.75" customHeight="1" x14ac:dyDescent="0.2">
      <c r="A62" s="27"/>
      <c r="B62" s="69"/>
      <c r="C62" s="69"/>
      <c r="D62" s="69"/>
      <c r="E62" s="69"/>
      <c r="F62" s="74"/>
      <c r="G62" s="74"/>
      <c r="H62" s="74"/>
      <c r="I62" s="74"/>
      <c r="J62" s="75"/>
      <c r="K62" s="74"/>
      <c r="L62" s="74"/>
      <c r="M62" s="74"/>
      <c r="N62" s="74"/>
      <c r="O62" s="75"/>
      <c r="P62" s="74"/>
      <c r="Q62" s="74"/>
      <c r="R62" s="74"/>
      <c r="S62" s="74"/>
      <c r="T62" s="75"/>
      <c r="U62" s="74"/>
      <c r="V62" s="74"/>
      <c r="W62" s="76"/>
      <c r="X62" s="74"/>
      <c r="Y62" s="75"/>
      <c r="Z62" s="74"/>
      <c r="AA62" s="74"/>
      <c r="AB62" s="74"/>
      <c r="AC62" s="74"/>
      <c r="AD62" s="75"/>
      <c r="AE62" s="74"/>
      <c r="AF62" s="74"/>
      <c r="AG62" s="74"/>
      <c r="AH62" s="74"/>
      <c r="AI62" s="75"/>
      <c r="AJ62" s="74"/>
      <c r="AK62" s="74"/>
      <c r="AL62" s="74"/>
      <c r="AM62" s="74"/>
      <c r="AN62" s="75"/>
      <c r="AO62" s="27"/>
      <c r="AP62" s="27"/>
      <c r="AQ62" s="27"/>
      <c r="AR62" s="27"/>
      <c r="AS62" s="27"/>
      <c r="AT62" s="27"/>
      <c r="AU62" s="27"/>
      <c r="AV62" s="27"/>
      <c r="AW62" s="27"/>
      <c r="AX62" s="27"/>
      <c r="AY62" s="27"/>
      <c r="AZ62" s="27"/>
    </row>
    <row r="63" spans="1:52" ht="15.75" customHeight="1" x14ac:dyDescent="0.2">
      <c r="A63" s="27"/>
      <c r="B63" s="47" t="s">
        <v>508</v>
      </c>
      <c r="C63" s="47"/>
      <c r="D63" s="47"/>
      <c r="E63" s="47"/>
      <c r="F63" s="48"/>
      <c r="G63" s="48"/>
      <c r="H63" s="48"/>
      <c r="I63" s="48"/>
      <c r="J63" s="48"/>
      <c r="K63" s="48"/>
      <c r="L63" s="48"/>
      <c r="M63" s="48"/>
      <c r="N63" s="48"/>
      <c r="O63" s="48"/>
      <c r="P63" s="48"/>
      <c r="Q63" s="48"/>
      <c r="R63" s="48"/>
      <c r="S63" s="48"/>
      <c r="T63" s="48"/>
      <c r="U63" s="48"/>
      <c r="V63" s="48"/>
      <c r="W63" s="49"/>
      <c r="X63" s="48"/>
      <c r="Y63" s="48"/>
      <c r="Z63" s="48"/>
      <c r="AA63" s="48"/>
      <c r="AB63" s="48"/>
      <c r="AC63" s="48"/>
      <c r="AD63" s="48"/>
      <c r="AE63" s="48"/>
      <c r="AF63" s="48"/>
      <c r="AG63" s="48"/>
      <c r="AH63" s="48"/>
      <c r="AI63" s="48"/>
      <c r="AJ63" s="48"/>
      <c r="AK63" s="48"/>
      <c r="AL63" s="48"/>
      <c r="AM63" s="48"/>
      <c r="AN63" s="48"/>
      <c r="AO63" s="27"/>
      <c r="AP63" s="27"/>
      <c r="AQ63" s="27"/>
      <c r="AR63" s="27"/>
      <c r="AS63" s="27"/>
      <c r="AT63" s="27"/>
      <c r="AU63" s="27"/>
      <c r="AV63" s="27"/>
      <c r="AW63" s="27"/>
      <c r="AX63" s="27"/>
      <c r="AY63" s="27"/>
      <c r="AZ63" s="27"/>
    </row>
    <row r="64" spans="1:52" ht="15.75" customHeight="1" x14ac:dyDescent="0.2">
      <c r="A64" s="27"/>
      <c r="B64" s="78" t="s">
        <v>509</v>
      </c>
      <c r="C64" s="78"/>
      <c r="D64" s="78"/>
      <c r="E64" s="78"/>
      <c r="F64" s="79"/>
      <c r="G64" s="79"/>
      <c r="H64" s="79"/>
      <c r="I64" s="79"/>
      <c r="J64" s="80"/>
      <c r="K64" s="79"/>
      <c r="L64" s="79"/>
      <c r="M64" s="79"/>
      <c r="N64" s="79"/>
      <c r="O64" s="80"/>
      <c r="P64" s="79"/>
      <c r="Q64" s="79"/>
      <c r="R64" s="79"/>
      <c r="S64" s="79"/>
      <c r="T64" s="80"/>
      <c r="U64" s="79"/>
      <c r="V64" s="79"/>
      <c r="W64" s="81"/>
      <c r="X64" s="79"/>
      <c r="Y64" s="80"/>
      <c r="Z64" s="79"/>
      <c r="AA64" s="79"/>
      <c r="AB64" s="79"/>
      <c r="AC64" s="79"/>
      <c r="AD64" s="80"/>
      <c r="AE64" s="79"/>
      <c r="AF64" s="79"/>
      <c r="AG64" s="79"/>
      <c r="AH64" s="79"/>
      <c r="AI64" s="80"/>
      <c r="AJ64" s="79"/>
      <c r="AK64" s="79"/>
      <c r="AL64" s="79"/>
      <c r="AM64" s="79"/>
      <c r="AN64" s="80"/>
      <c r="AO64" s="27"/>
      <c r="AP64" s="27"/>
      <c r="AQ64" s="27"/>
      <c r="AR64" s="27"/>
      <c r="AS64" s="27"/>
      <c r="AT64" s="27"/>
      <c r="AU64" s="27"/>
      <c r="AV64" s="27"/>
      <c r="AW64" s="27"/>
      <c r="AX64" s="27"/>
      <c r="AY64" s="27"/>
      <c r="AZ64" s="27"/>
    </row>
    <row r="65" spans="1:52" ht="15.75" customHeight="1" x14ac:dyDescent="0.2">
      <c r="A65" s="27"/>
      <c r="B65" s="78" t="s">
        <v>510</v>
      </c>
      <c r="C65" s="78"/>
      <c r="D65" s="78"/>
      <c r="E65" s="78"/>
      <c r="F65" s="79"/>
      <c r="G65" s="79"/>
      <c r="H65" s="79"/>
      <c r="I65" s="79"/>
      <c r="J65" s="80"/>
      <c r="K65" s="79"/>
      <c r="L65" s="79"/>
      <c r="M65" s="79"/>
      <c r="N65" s="79"/>
      <c r="O65" s="80"/>
      <c r="P65" s="79"/>
      <c r="Q65" s="79"/>
      <c r="R65" s="79"/>
      <c r="S65" s="79"/>
      <c r="T65" s="80"/>
      <c r="U65" s="79"/>
      <c r="V65" s="79"/>
      <c r="W65" s="81"/>
      <c r="X65" s="79"/>
      <c r="Y65" s="80"/>
      <c r="Z65" s="79"/>
      <c r="AA65" s="79"/>
      <c r="AB65" s="79"/>
      <c r="AC65" s="79"/>
      <c r="AD65" s="80"/>
      <c r="AE65" s="79"/>
      <c r="AF65" s="79"/>
      <c r="AG65" s="79"/>
      <c r="AH65" s="79"/>
      <c r="AI65" s="80"/>
      <c r="AJ65" s="79"/>
      <c r="AK65" s="79"/>
      <c r="AL65" s="79"/>
      <c r="AM65" s="79"/>
      <c r="AN65" s="80"/>
      <c r="AO65" s="27"/>
      <c r="AP65" s="27"/>
      <c r="AQ65" s="27"/>
      <c r="AR65" s="27"/>
      <c r="AS65" s="27"/>
      <c r="AT65" s="27"/>
      <c r="AU65" s="27"/>
      <c r="AV65" s="27"/>
      <c r="AW65" s="27"/>
      <c r="AX65" s="27"/>
      <c r="AY65" s="27"/>
      <c r="AZ65" s="27"/>
    </row>
    <row r="66" spans="1:52" ht="15.75" customHeight="1" x14ac:dyDescent="0.2">
      <c r="A66" s="27"/>
      <c r="B66" s="50" t="s">
        <v>511</v>
      </c>
      <c r="C66" s="50"/>
      <c r="D66" s="50"/>
      <c r="E66" s="50"/>
      <c r="F66" s="74">
        <f t="shared" ref="F66:AN66" si="18">+F105</f>
        <v>117759.84000000001</v>
      </c>
      <c r="G66" s="74">
        <f t="shared" si="18"/>
        <v>95321.580000000016</v>
      </c>
      <c r="H66" s="74">
        <f t="shared" si="18"/>
        <v>4969844.01</v>
      </c>
      <c r="I66" s="74">
        <f t="shared" si="18"/>
        <v>4531674.43</v>
      </c>
      <c r="J66" s="75">
        <f t="shared" si="18"/>
        <v>4531674.43</v>
      </c>
      <c r="K66" s="74">
        <f t="shared" si="18"/>
        <v>4135273.3699999996</v>
      </c>
      <c r="L66" s="74">
        <f t="shared" si="18"/>
        <v>17252919.02</v>
      </c>
      <c r="M66" s="74">
        <f t="shared" si="18"/>
        <v>17035896.27</v>
      </c>
      <c r="N66" s="74">
        <f t="shared" si="18"/>
        <v>15439422.719999999</v>
      </c>
      <c r="O66" s="75">
        <f t="shared" si="18"/>
        <v>15439422.719999997</v>
      </c>
      <c r="P66" s="74">
        <f t="shared" si="18"/>
        <v>14024543.649999999</v>
      </c>
      <c r="Q66" s="74">
        <f t="shared" si="18"/>
        <v>46100443.569999993</v>
      </c>
      <c r="R66" s="74">
        <f t="shared" si="18"/>
        <v>41585301.729999989</v>
      </c>
      <c r="S66" s="74">
        <f t="shared" si="18"/>
        <v>36218536.229999997</v>
      </c>
      <c r="T66" s="75">
        <f t="shared" si="18"/>
        <v>36218536.229999997</v>
      </c>
      <c r="U66" s="74">
        <f t="shared" si="18"/>
        <v>29785505.689999994</v>
      </c>
      <c r="V66" s="74">
        <f t="shared" si="18"/>
        <v>22052198.689999994</v>
      </c>
      <c r="W66" s="76">
        <f t="shared" si="18"/>
        <v>45058622.689999998</v>
      </c>
      <c r="X66" s="74">
        <f t="shared" si="18"/>
        <v>39020669.390000001</v>
      </c>
      <c r="Y66" s="75">
        <f t="shared" si="18"/>
        <v>39020669.389999993</v>
      </c>
      <c r="Z66" s="74">
        <f t="shared" si="18"/>
        <v>33081986.389999993</v>
      </c>
      <c r="AA66" s="74">
        <f t="shared" si="18"/>
        <v>27797972.389999993</v>
      </c>
      <c r="AB66" s="74">
        <f t="shared" si="18"/>
        <v>23427929.389999993</v>
      </c>
      <c r="AC66" s="74">
        <f t="shared" si="18"/>
        <v>19256704.389999993</v>
      </c>
      <c r="AD66" s="75">
        <f t="shared" si="18"/>
        <v>19256704.389999993</v>
      </c>
      <c r="AE66" s="74">
        <f t="shared" si="18"/>
        <v>15359393.389999993</v>
      </c>
      <c r="AF66" s="74">
        <f t="shared" si="18"/>
        <v>11986158.389999993</v>
      </c>
      <c r="AG66" s="74">
        <f t="shared" si="18"/>
        <v>9264072.3899999931</v>
      </c>
      <c r="AH66" s="74">
        <f t="shared" si="18"/>
        <v>7560895.3899999931</v>
      </c>
      <c r="AI66" s="75">
        <f t="shared" si="18"/>
        <v>7560897.3899999931</v>
      </c>
      <c r="AJ66" s="74">
        <f t="shared" si="18"/>
        <v>4196704.3899999931</v>
      </c>
      <c r="AK66" s="74">
        <f t="shared" si="18"/>
        <v>1378666.3899999931</v>
      </c>
      <c r="AL66" s="74">
        <f t="shared" si="18"/>
        <v>-696002.61000000685</v>
      </c>
      <c r="AM66" s="74">
        <f t="shared" si="18"/>
        <v>-1230869.6100000069</v>
      </c>
      <c r="AN66" s="75">
        <f t="shared" si="18"/>
        <v>-1230869.6100000069</v>
      </c>
      <c r="AO66" s="27"/>
      <c r="AP66" s="27"/>
      <c r="AQ66" s="27"/>
      <c r="AR66" s="27"/>
      <c r="AS66" s="27"/>
      <c r="AT66" s="27"/>
      <c r="AU66" s="27"/>
      <c r="AV66" s="27"/>
      <c r="AW66" s="27"/>
      <c r="AX66" s="27"/>
      <c r="AY66" s="27"/>
      <c r="AZ66" s="27"/>
    </row>
    <row r="67" spans="1:52" ht="15.75" customHeight="1" x14ac:dyDescent="0.2">
      <c r="A67" s="27"/>
      <c r="B67" s="50" t="s">
        <v>512</v>
      </c>
      <c r="C67" s="50"/>
      <c r="D67" s="50"/>
      <c r="E67" s="50"/>
      <c r="F67" s="74">
        <v>0</v>
      </c>
      <c r="G67" s="74">
        <v>767.56</v>
      </c>
      <c r="H67" s="74">
        <v>0</v>
      </c>
      <c r="I67" s="74">
        <v>46289.54</v>
      </c>
      <c r="J67" s="75">
        <v>46289.54</v>
      </c>
      <c r="K67" s="74">
        <v>208149.31</v>
      </c>
      <c r="L67" s="74">
        <v>132272.94</v>
      </c>
      <c r="M67" s="74">
        <v>131716.91</v>
      </c>
      <c r="N67" s="74">
        <v>562359.22</v>
      </c>
      <c r="O67" s="75">
        <v>562359.22</v>
      </c>
      <c r="P67" s="74">
        <v>655680.68999999994</v>
      </c>
      <c r="Q67" s="74">
        <v>807540.37</v>
      </c>
      <c r="R67" s="74">
        <v>980984.25</v>
      </c>
      <c r="S67" s="74">
        <v>1507125.2</v>
      </c>
      <c r="T67" s="75">
        <v>1507125.2</v>
      </c>
      <c r="U67" s="74">
        <v>1741098.26</v>
      </c>
      <c r="V67" s="74">
        <v>1552409</v>
      </c>
      <c r="W67" s="76">
        <v>1511165</v>
      </c>
      <c r="X67" s="74">
        <v>1910504</v>
      </c>
      <c r="Y67" s="75">
        <f>X67</f>
        <v>1910504</v>
      </c>
      <c r="Z67" s="74">
        <v>2419312</v>
      </c>
      <c r="AA67" s="74">
        <v>2914608</v>
      </c>
      <c r="AB67" s="74">
        <v>3400780</v>
      </c>
      <c r="AC67" s="74">
        <v>3898947</v>
      </c>
      <c r="AD67" s="75">
        <v>3898947</v>
      </c>
      <c r="AE67" s="74">
        <v>4774472</v>
      </c>
      <c r="AF67" s="74">
        <v>5816777</v>
      </c>
      <c r="AG67" s="74">
        <v>7077633</v>
      </c>
      <c r="AH67" s="74">
        <v>8611908</v>
      </c>
      <c r="AI67" s="75">
        <v>8611908</v>
      </c>
      <c r="AJ67" s="74">
        <v>9951693</v>
      </c>
      <c r="AK67" s="74">
        <v>11522095</v>
      </c>
      <c r="AL67" s="74">
        <v>13341732</v>
      </c>
      <c r="AM67" s="74">
        <v>15451320</v>
      </c>
      <c r="AN67" s="75">
        <v>15451320</v>
      </c>
      <c r="AO67" s="27"/>
      <c r="AP67" s="27"/>
      <c r="AQ67" s="27"/>
      <c r="AR67" s="27"/>
      <c r="AS67" s="27"/>
      <c r="AT67" s="27"/>
      <c r="AU67" s="27"/>
      <c r="AV67" s="27"/>
      <c r="AW67" s="27"/>
      <c r="AX67" s="27"/>
      <c r="AY67" s="27"/>
      <c r="AZ67" s="27"/>
    </row>
    <row r="68" spans="1:52" ht="15.75" customHeight="1" x14ac:dyDescent="0.2">
      <c r="A68" s="27"/>
      <c r="B68" s="50" t="s">
        <v>513</v>
      </c>
      <c r="C68" s="50"/>
      <c r="D68" s="50"/>
      <c r="E68" s="50"/>
      <c r="F68" s="74">
        <v>0</v>
      </c>
      <c r="G68" s="74">
        <v>0</v>
      </c>
      <c r="H68" s="74">
        <v>6666.67</v>
      </c>
      <c r="I68" s="74">
        <v>20254.679999999997</v>
      </c>
      <c r="J68" s="75">
        <v>20254.679999999997</v>
      </c>
      <c r="K68" s="74">
        <v>26235.64</v>
      </c>
      <c r="L68" s="74">
        <v>39484.03</v>
      </c>
      <c r="M68" s="74">
        <v>102007.51</v>
      </c>
      <c r="N68" s="74">
        <v>162813.03</v>
      </c>
      <c r="O68" s="75">
        <v>162813.03</v>
      </c>
      <c r="P68" s="74">
        <v>272767.79000000004</v>
      </c>
      <c r="Q68" s="74">
        <v>306137.43</v>
      </c>
      <c r="R68" s="74">
        <v>457051.12</v>
      </c>
      <c r="S68" s="74">
        <v>646625.30999999994</v>
      </c>
      <c r="T68" s="75">
        <v>646625.30999999994</v>
      </c>
      <c r="U68" s="74">
        <v>501961.77999999997</v>
      </c>
      <c r="V68" s="74">
        <v>524764.6</v>
      </c>
      <c r="W68" s="76">
        <v>626155</v>
      </c>
      <c r="X68" s="74">
        <v>617481</v>
      </c>
      <c r="Y68" s="75">
        <f>X68</f>
        <v>617481</v>
      </c>
      <c r="Z68" s="74">
        <v>673538</v>
      </c>
      <c r="AA68" s="74">
        <v>680948</v>
      </c>
      <c r="AB68" s="74">
        <v>681930</v>
      </c>
      <c r="AC68" s="74">
        <v>766460</v>
      </c>
      <c r="AD68" s="75">
        <v>766460</v>
      </c>
      <c r="AE68" s="74">
        <v>904010</v>
      </c>
      <c r="AF68" s="74">
        <v>1024374</v>
      </c>
      <c r="AG68" s="74">
        <v>1180328</v>
      </c>
      <c r="AH68" s="74">
        <v>1335773</v>
      </c>
      <c r="AI68" s="75">
        <v>1335773</v>
      </c>
      <c r="AJ68" s="74">
        <v>1551249</v>
      </c>
      <c r="AK68" s="74">
        <v>1738963</v>
      </c>
      <c r="AL68" s="74">
        <v>1945038</v>
      </c>
      <c r="AM68" s="74">
        <v>2148394</v>
      </c>
      <c r="AN68" s="75">
        <v>2148394</v>
      </c>
      <c r="AO68" s="27"/>
      <c r="AP68" s="27"/>
      <c r="AQ68" s="27"/>
      <c r="AR68" s="27"/>
      <c r="AS68" s="27"/>
      <c r="AT68" s="27"/>
      <c r="AU68" s="27"/>
      <c r="AV68" s="27"/>
      <c r="AW68" s="27"/>
      <c r="AX68" s="27"/>
      <c r="AY68" s="27"/>
      <c r="AZ68" s="27"/>
    </row>
    <row r="69" spans="1:52" ht="15.75" customHeight="1" x14ac:dyDescent="0.2">
      <c r="A69" s="27"/>
      <c r="B69" s="61" t="s">
        <v>514</v>
      </c>
      <c r="C69" s="61"/>
      <c r="D69" s="61"/>
      <c r="E69" s="61"/>
      <c r="F69" s="82">
        <f t="shared" ref="F69:AN69" si="19">+SUM(F66:F68)</f>
        <v>117759.84000000001</v>
      </c>
      <c r="G69" s="82">
        <f t="shared" si="19"/>
        <v>96089.140000000014</v>
      </c>
      <c r="H69" s="82">
        <f t="shared" si="19"/>
        <v>4976510.68</v>
      </c>
      <c r="I69" s="82">
        <f t="shared" si="19"/>
        <v>4598218.6499999994</v>
      </c>
      <c r="J69" s="83">
        <f t="shared" si="19"/>
        <v>4598218.6499999994</v>
      </c>
      <c r="K69" s="82">
        <f t="shared" si="19"/>
        <v>4369658.3199999994</v>
      </c>
      <c r="L69" s="82">
        <f t="shared" si="19"/>
        <v>17424675.990000002</v>
      </c>
      <c r="M69" s="82">
        <f t="shared" si="19"/>
        <v>17269620.690000001</v>
      </c>
      <c r="N69" s="82">
        <f t="shared" si="19"/>
        <v>16164594.969999999</v>
      </c>
      <c r="O69" s="83">
        <f t="shared" si="19"/>
        <v>16164594.969999997</v>
      </c>
      <c r="P69" s="82">
        <f t="shared" si="19"/>
        <v>14952992.129999999</v>
      </c>
      <c r="Q69" s="82">
        <f t="shared" si="19"/>
        <v>47214121.36999999</v>
      </c>
      <c r="R69" s="82">
        <f t="shared" si="19"/>
        <v>43023337.099999987</v>
      </c>
      <c r="S69" s="82">
        <f t="shared" si="19"/>
        <v>38372286.740000002</v>
      </c>
      <c r="T69" s="83">
        <f t="shared" si="19"/>
        <v>38372286.740000002</v>
      </c>
      <c r="U69" s="82">
        <f t="shared" si="19"/>
        <v>32028565.729999997</v>
      </c>
      <c r="V69" s="82">
        <f t="shared" si="19"/>
        <v>24129372.289999995</v>
      </c>
      <c r="W69" s="84">
        <f t="shared" si="19"/>
        <v>47195942.689999998</v>
      </c>
      <c r="X69" s="82">
        <f t="shared" si="19"/>
        <v>41548654.390000001</v>
      </c>
      <c r="Y69" s="83">
        <f t="shared" si="19"/>
        <v>41548654.389999993</v>
      </c>
      <c r="Z69" s="82">
        <f t="shared" si="19"/>
        <v>36174836.389999993</v>
      </c>
      <c r="AA69" s="82">
        <f t="shared" si="19"/>
        <v>31393528.389999993</v>
      </c>
      <c r="AB69" s="82">
        <f t="shared" si="19"/>
        <v>27510639.389999993</v>
      </c>
      <c r="AC69" s="82">
        <f t="shared" si="19"/>
        <v>23922111.389999993</v>
      </c>
      <c r="AD69" s="83">
        <f t="shared" si="19"/>
        <v>23922111.389999993</v>
      </c>
      <c r="AE69" s="82">
        <f t="shared" si="19"/>
        <v>21037875.389999993</v>
      </c>
      <c r="AF69" s="82">
        <f t="shared" si="19"/>
        <v>18827309.389999993</v>
      </c>
      <c r="AG69" s="82">
        <f t="shared" si="19"/>
        <v>17522033.389999993</v>
      </c>
      <c r="AH69" s="82">
        <f t="shared" si="19"/>
        <v>17508576.389999993</v>
      </c>
      <c r="AI69" s="83">
        <f t="shared" si="19"/>
        <v>17508578.389999993</v>
      </c>
      <c r="AJ69" s="82">
        <f t="shared" si="19"/>
        <v>15699646.389999993</v>
      </c>
      <c r="AK69" s="82">
        <f t="shared" si="19"/>
        <v>14639724.389999993</v>
      </c>
      <c r="AL69" s="82">
        <f t="shared" si="19"/>
        <v>14590767.389999993</v>
      </c>
      <c r="AM69" s="82">
        <f t="shared" si="19"/>
        <v>16368844.389999993</v>
      </c>
      <c r="AN69" s="83">
        <f t="shared" si="19"/>
        <v>16368844.389999993</v>
      </c>
      <c r="AO69" s="27"/>
      <c r="AP69" s="27"/>
      <c r="AQ69" s="27"/>
      <c r="AR69" s="27"/>
      <c r="AS69" s="27"/>
      <c r="AT69" s="27"/>
      <c r="AU69" s="27"/>
      <c r="AV69" s="27"/>
      <c r="AW69" s="27"/>
      <c r="AX69" s="27"/>
      <c r="AY69" s="27"/>
      <c r="AZ69" s="27"/>
    </row>
    <row r="70" spans="1:52" ht="15.75" customHeight="1" x14ac:dyDescent="0.2">
      <c r="A70" s="27"/>
      <c r="B70" s="50" t="s">
        <v>515</v>
      </c>
      <c r="C70" s="50"/>
      <c r="D70" s="50"/>
      <c r="E70" s="50"/>
      <c r="F70" s="74">
        <v>0</v>
      </c>
      <c r="G70" s="74">
        <v>3853.1</v>
      </c>
      <c r="H70" s="74">
        <v>3657.17</v>
      </c>
      <c r="I70" s="74">
        <v>18055.809999999998</v>
      </c>
      <c r="J70" s="75">
        <v>18055.809999999998</v>
      </c>
      <c r="K70" s="74">
        <v>19973.16</v>
      </c>
      <c r="L70" s="74">
        <v>34657.24</v>
      </c>
      <c r="M70" s="74">
        <v>43518.549999999996</v>
      </c>
      <c r="N70" s="74">
        <v>61652.180000000008</v>
      </c>
      <c r="O70" s="75">
        <v>61652.180000000008</v>
      </c>
      <c r="P70" s="74">
        <v>67687.569999999992</v>
      </c>
      <c r="Q70" s="74">
        <v>103809.97</v>
      </c>
      <c r="R70" s="74">
        <v>272852.83</v>
      </c>
      <c r="S70" s="74">
        <v>351424.36</v>
      </c>
      <c r="T70" s="75">
        <v>351424.36</v>
      </c>
      <c r="U70" s="74">
        <v>462933.66000000003</v>
      </c>
      <c r="V70" s="74">
        <v>502675.6</v>
      </c>
      <c r="W70" s="76">
        <v>494604</v>
      </c>
      <c r="X70" s="74">
        <v>494200</v>
      </c>
      <c r="Y70" s="75">
        <f>X70</f>
        <v>494200</v>
      </c>
      <c r="Z70" s="74">
        <v>502517</v>
      </c>
      <c r="AA70" s="74">
        <v>519549</v>
      </c>
      <c r="AB70" s="74">
        <v>544287</v>
      </c>
      <c r="AC70" s="74">
        <v>576449</v>
      </c>
      <c r="AD70" s="75">
        <v>576449</v>
      </c>
      <c r="AE70" s="74">
        <v>620324</v>
      </c>
      <c r="AF70" s="74">
        <v>679819</v>
      </c>
      <c r="AG70" s="74">
        <v>757856</v>
      </c>
      <c r="AH70" s="74">
        <v>858205</v>
      </c>
      <c r="AI70" s="75">
        <v>858205</v>
      </c>
      <c r="AJ70" s="74">
        <v>978771</v>
      </c>
      <c r="AK70" s="74">
        <v>1119730</v>
      </c>
      <c r="AL70" s="74">
        <v>1284255</v>
      </c>
      <c r="AM70" s="74">
        <v>1475974</v>
      </c>
      <c r="AN70" s="75">
        <v>1475974</v>
      </c>
      <c r="AO70" s="27"/>
      <c r="AP70" s="27"/>
      <c r="AQ70" s="27"/>
      <c r="AR70" s="27"/>
      <c r="AS70" s="27"/>
      <c r="AT70" s="27"/>
      <c r="AU70" s="27"/>
      <c r="AV70" s="27"/>
      <c r="AW70" s="27"/>
      <c r="AX70" s="27"/>
      <c r="AY70" s="27"/>
      <c r="AZ70" s="27"/>
    </row>
    <row r="71" spans="1:52" ht="15.75" customHeight="1" x14ac:dyDescent="0.2">
      <c r="A71" s="27"/>
      <c r="B71" s="50" t="s">
        <v>516</v>
      </c>
      <c r="C71" s="50"/>
      <c r="D71" s="50"/>
      <c r="E71" s="50"/>
      <c r="F71" s="74">
        <v>0</v>
      </c>
      <c r="G71" s="74">
        <v>0</v>
      </c>
      <c r="H71" s="74">
        <v>4500</v>
      </c>
      <c r="I71" s="74">
        <v>19980</v>
      </c>
      <c r="J71" s="75">
        <v>19980</v>
      </c>
      <c r="K71" s="74">
        <v>19980</v>
      </c>
      <c r="L71" s="74">
        <v>19980</v>
      </c>
      <c r="M71" s="74">
        <v>0</v>
      </c>
      <c r="N71" s="74">
        <v>0</v>
      </c>
      <c r="O71" s="75">
        <v>0</v>
      </c>
      <c r="P71" s="74">
        <v>55425.5</v>
      </c>
      <c r="Q71" s="74">
        <v>113024</v>
      </c>
      <c r="R71" s="74">
        <v>126945.73000000001</v>
      </c>
      <c r="S71" s="74">
        <v>210676.05</v>
      </c>
      <c r="T71" s="75">
        <v>210676.05</v>
      </c>
      <c r="U71" s="74">
        <v>820910.25</v>
      </c>
      <c r="V71" s="74">
        <v>604325</v>
      </c>
      <c r="W71" s="76">
        <v>604325</v>
      </c>
      <c r="X71" s="74">
        <v>604325</v>
      </c>
      <c r="Y71" s="75">
        <f>X71</f>
        <v>604325</v>
      </c>
      <c r="Z71" s="74">
        <v>604325</v>
      </c>
      <c r="AA71" s="74">
        <v>604325</v>
      </c>
      <c r="AB71" s="74">
        <v>604325</v>
      </c>
      <c r="AC71" s="74">
        <v>604325</v>
      </c>
      <c r="AD71" s="75">
        <v>604325</v>
      </c>
      <c r="AE71" s="74">
        <v>604325</v>
      </c>
      <c r="AF71" s="74">
        <v>604325</v>
      </c>
      <c r="AG71" s="74">
        <v>604325</v>
      </c>
      <c r="AH71" s="74">
        <v>604325</v>
      </c>
      <c r="AI71" s="75">
        <v>604325</v>
      </c>
      <c r="AJ71" s="74">
        <v>604325</v>
      </c>
      <c r="AK71" s="74">
        <v>604325</v>
      </c>
      <c r="AL71" s="74">
        <v>604325</v>
      </c>
      <c r="AM71" s="74">
        <v>604325</v>
      </c>
      <c r="AN71" s="75">
        <v>604325</v>
      </c>
      <c r="AO71" s="27"/>
      <c r="AP71" s="27"/>
      <c r="AQ71" s="27"/>
      <c r="AR71" s="27"/>
      <c r="AS71" s="27"/>
      <c r="AT71" s="27"/>
      <c r="AU71" s="27"/>
      <c r="AV71" s="27"/>
      <c r="AW71" s="27"/>
      <c r="AX71" s="27"/>
      <c r="AY71" s="27"/>
      <c r="AZ71" s="27"/>
    </row>
    <row r="72" spans="1:52" ht="15.75" customHeight="1" thickBot="1" x14ac:dyDescent="0.25">
      <c r="A72" s="27"/>
      <c r="B72" s="89" t="s">
        <v>517</v>
      </c>
      <c r="C72" s="89"/>
      <c r="D72" s="89"/>
      <c r="E72" s="89"/>
      <c r="F72" s="90">
        <f t="shared" ref="F72:AN72" si="20">+F69+SUM(F70:F71)</f>
        <v>117759.84000000001</v>
      </c>
      <c r="G72" s="90">
        <f t="shared" si="20"/>
        <v>99942.24000000002</v>
      </c>
      <c r="H72" s="90">
        <f t="shared" si="20"/>
        <v>4984667.8499999996</v>
      </c>
      <c r="I72" s="90">
        <f t="shared" si="20"/>
        <v>4636254.459999999</v>
      </c>
      <c r="J72" s="91">
        <f t="shared" si="20"/>
        <v>4636254.459999999</v>
      </c>
      <c r="K72" s="90">
        <f t="shared" si="20"/>
        <v>4409611.4799999995</v>
      </c>
      <c r="L72" s="90">
        <f t="shared" si="20"/>
        <v>17479313.23</v>
      </c>
      <c r="M72" s="90">
        <f t="shared" si="20"/>
        <v>17313139.240000002</v>
      </c>
      <c r="N72" s="90">
        <f t="shared" si="20"/>
        <v>16226247.149999999</v>
      </c>
      <c r="O72" s="91">
        <f t="shared" si="20"/>
        <v>16226247.149999997</v>
      </c>
      <c r="P72" s="90">
        <f t="shared" si="20"/>
        <v>15076105.199999999</v>
      </c>
      <c r="Q72" s="90">
        <f t="shared" si="20"/>
        <v>47430955.339999989</v>
      </c>
      <c r="R72" s="90">
        <f t="shared" si="20"/>
        <v>43423135.659999989</v>
      </c>
      <c r="S72" s="90">
        <f t="shared" si="20"/>
        <v>38934387.149999999</v>
      </c>
      <c r="T72" s="91">
        <f t="shared" si="20"/>
        <v>38934387.149999999</v>
      </c>
      <c r="U72" s="90">
        <f t="shared" si="20"/>
        <v>33312409.639999997</v>
      </c>
      <c r="V72" s="90">
        <f t="shared" si="20"/>
        <v>25236372.889999997</v>
      </c>
      <c r="W72" s="92">
        <f t="shared" si="20"/>
        <v>48294871.689999998</v>
      </c>
      <c r="X72" s="90">
        <f t="shared" si="20"/>
        <v>42647179.390000001</v>
      </c>
      <c r="Y72" s="91">
        <f t="shared" si="20"/>
        <v>42647179.389999993</v>
      </c>
      <c r="Z72" s="90">
        <f t="shared" si="20"/>
        <v>37281678.389999993</v>
      </c>
      <c r="AA72" s="90">
        <f t="shared" si="20"/>
        <v>32517402.389999993</v>
      </c>
      <c r="AB72" s="90">
        <f t="shared" si="20"/>
        <v>28659251.389999993</v>
      </c>
      <c r="AC72" s="90">
        <f t="shared" si="20"/>
        <v>25102885.389999993</v>
      </c>
      <c r="AD72" s="91">
        <f t="shared" si="20"/>
        <v>25102885.389999993</v>
      </c>
      <c r="AE72" s="90">
        <f t="shared" si="20"/>
        <v>22262524.389999993</v>
      </c>
      <c r="AF72" s="90">
        <f t="shared" si="20"/>
        <v>20111453.389999993</v>
      </c>
      <c r="AG72" s="90">
        <f t="shared" si="20"/>
        <v>18884214.389999993</v>
      </c>
      <c r="AH72" s="90">
        <f t="shared" si="20"/>
        <v>18971106.389999993</v>
      </c>
      <c r="AI72" s="91">
        <f t="shared" si="20"/>
        <v>18971108.389999993</v>
      </c>
      <c r="AJ72" s="90">
        <f t="shared" si="20"/>
        <v>17282742.389999993</v>
      </c>
      <c r="AK72" s="90">
        <f t="shared" si="20"/>
        <v>16363779.389999993</v>
      </c>
      <c r="AL72" s="90">
        <f t="shared" si="20"/>
        <v>16479347.389999993</v>
      </c>
      <c r="AM72" s="90">
        <f t="shared" si="20"/>
        <v>18449143.389999993</v>
      </c>
      <c r="AN72" s="91">
        <f t="shared" si="20"/>
        <v>18449143.389999993</v>
      </c>
      <c r="AO72" s="27"/>
      <c r="AP72" s="27"/>
      <c r="AQ72" s="27"/>
      <c r="AR72" s="27"/>
      <c r="AS72" s="27"/>
      <c r="AT72" s="27"/>
      <c r="AU72" s="27"/>
      <c r="AV72" s="27"/>
      <c r="AW72" s="27"/>
      <c r="AX72" s="27"/>
      <c r="AY72" s="27"/>
      <c r="AZ72" s="27"/>
    </row>
    <row r="73" spans="1:52" ht="15.75" customHeight="1" thickTop="1" x14ac:dyDescent="0.2">
      <c r="A73" s="27"/>
      <c r="B73" s="69"/>
      <c r="C73" s="69"/>
      <c r="D73" s="69"/>
      <c r="E73" s="69"/>
      <c r="F73" s="74"/>
      <c r="G73" s="74"/>
      <c r="H73" s="74"/>
      <c r="I73" s="74"/>
      <c r="J73" s="75"/>
      <c r="K73" s="74"/>
      <c r="L73" s="74"/>
      <c r="M73" s="74"/>
      <c r="N73" s="74"/>
      <c r="O73" s="75"/>
      <c r="P73" s="74"/>
      <c r="Q73" s="74"/>
      <c r="R73" s="74"/>
      <c r="S73" s="74"/>
      <c r="T73" s="75"/>
      <c r="U73" s="74"/>
      <c r="V73" s="74"/>
      <c r="W73" s="76"/>
      <c r="X73" s="74"/>
      <c r="Y73" s="75"/>
      <c r="Z73" s="74"/>
      <c r="AA73" s="74"/>
      <c r="AB73" s="74"/>
      <c r="AC73" s="74"/>
      <c r="AD73" s="75"/>
      <c r="AE73" s="74"/>
      <c r="AF73" s="74"/>
      <c r="AG73" s="74"/>
      <c r="AH73" s="74"/>
      <c r="AI73" s="75"/>
      <c r="AJ73" s="74"/>
      <c r="AK73" s="74"/>
      <c r="AL73" s="74"/>
      <c r="AM73" s="74"/>
      <c r="AN73" s="75"/>
      <c r="AO73" s="27"/>
      <c r="AP73" s="27"/>
      <c r="AQ73" s="27"/>
      <c r="AR73" s="27"/>
      <c r="AS73" s="27"/>
      <c r="AT73" s="27"/>
      <c r="AU73" s="27"/>
      <c r="AV73" s="27"/>
      <c r="AW73" s="27"/>
      <c r="AX73" s="27"/>
      <c r="AY73" s="27"/>
      <c r="AZ73" s="27"/>
    </row>
    <row r="74" spans="1:52" ht="15.75" customHeight="1" x14ac:dyDescent="0.2">
      <c r="A74" s="27"/>
      <c r="B74" s="78" t="s">
        <v>518</v>
      </c>
      <c r="C74" s="78"/>
      <c r="D74" s="78"/>
      <c r="E74" s="78"/>
      <c r="F74" s="79"/>
      <c r="G74" s="79"/>
      <c r="H74" s="79"/>
      <c r="I74" s="79"/>
      <c r="J74" s="80"/>
      <c r="K74" s="79"/>
      <c r="L74" s="79"/>
      <c r="M74" s="79"/>
      <c r="N74" s="79"/>
      <c r="O74" s="80"/>
      <c r="P74" s="79"/>
      <c r="Q74" s="79"/>
      <c r="R74" s="79"/>
      <c r="S74" s="79"/>
      <c r="T74" s="80"/>
      <c r="U74" s="79"/>
      <c r="V74" s="79"/>
      <c r="W74" s="81"/>
      <c r="X74" s="79"/>
      <c r="Y74" s="80"/>
      <c r="Z74" s="79"/>
      <c r="AA74" s="79"/>
      <c r="AB74" s="79"/>
      <c r="AC74" s="79"/>
      <c r="AD74" s="80"/>
      <c r="AE74" s="79"/>
      <c r="AF74" s="79"/>
      <c r="AG74" s="79"/>
      <c r="AH74" s="79"/>
      <c r="AI74" s="80"/>
      <c r="AJ74" s="79"/>
      <c r="AK74" s="79"/>
      <c r="AL74" s="79"/>
      <c r="AM74" s="79"/>
      <c r="AN74" s="80"/>
      <c r="AO74" s="27"/>
      <c r="AP74" s="27"/>
      <c r="AQ74" s="27"/>
      <c r="AR74" s="27"/>
      <c r="AS74" s="27"/>
      <c r="AT74" s="27"/>
      <c r="AU74" s="27"/>
      <c r="AV74" s="27"/>
      <c r="AW74" s="27"/>
      <c r="AX74" s="27"/>
      <c r="AY74" s="27"/>
      <c r="AZ74" s="27"/>
    </row>
    <row r="75" spans="1:52" ht="15.75" customHeight="1" x14ac:dyDescent="0.2">
      <c r="A75" s="27"/>
      <c r="B75" s="78" t="s">
        <v>519</v>
      </c>
      <c r="C75" s="78"/>
      <c r="D75" s="78"/>
      <c r="E75" s="78"/>
      <c r="F75" s="79"/>
      <c r="G75" s="79"/>
      <c r="H75" s="79"/>
      <c r="I75" s="79"/>
      <c r="J75" s="80"/>
      <c r="K75" s="79"/>
      <c r="L75" s="79"/>
      <c r="M75" s="79"/>
      <c r="N75" s="79"/>
      <c r="O75" s="80"/>
      <c r="P75" s="79"/>
      <c r="Q75" s="79"/>
      <c r="R75" s="79"/>
      <c r="S75" s="79"/>
      <c r="T75" s="80"/>
      <c r="U75" s="79"/>
      <c r="V75" s="79"/>
      <c r="W75" s="81"/>
      <c r="X75" s="79"/>
      <c r="Y75" s="80"/>
      <c r="Z75" s="79"/>
      <c r="AA75" s="79"/>
      <c r="AB75" s="79"/>
      <c r="AC75" s="79"/>
      <c r="AD75" s="80"/>
      <c r="AE75" s="79"/>
      <c r="AF75" s="79"/>
      <c r="AG75" s="79"/>
      <c r="AH75" s="79"/>
      <c r="AI75" s="80"/>
      <c r="AJ75" s="79"/>
      <c r="AK75" s="79"/>
      <c r="AL75" s="79"/>
      <c r="AM75" s="79"/>
      <c r="AN75" s="80"/>
      <c r="AO75" s="27"/>
      <c r="AP75" s="27"/>
      <c r="AQ75" s="27"/>
      <c r="AR75" s="27"/>
      <c r="AS75" s="27"/>
      <c r="AT75" s="27"/>
      <c r="AU75" s="27"/>
      <c r="AV75" s="27"/>
      <c r="AW75" s="27"/>
      <c r="AX75" s="27"/>
      <c r="AY75" s="27"/>
      <c r="AZ75" s="27"/>
    </row>
    <row r="76" spans="1:52" ht="15.75" customHeight="1" x14ac:dyDescent="0.2">
      <c r="A76" s="27"/>
      <c r="B76" s="50" t="s">
        <v>520</v>
      </c>
      <c r="C76" s="50"/>
      <c r="D76" s="50"/>
      <c r="E76" s="50"/>
      <c r="F76" s="74">
        <v>3714.76</v>
      </c>
      <c r="G76" s="74">
        <v>5574.4</v>
      </c>
      <c r="H76" s="74">
        <v>19510.43</v>
      </c>
      <c r="I76" s="74">
        <v>22966.49</v>
      </c>
      <c r="J76" s="75">
        <v>22966.49</v>
      </c>
      <c r="K76" s="74">
        <v>13982.59</v>
      </c>
      <c r="L76" s="74">
        <v>28813.34</v>
      </c>
      <c r="M76" s="74">
        <v>38676.07</v>
      </c>
      <c r="N76" s="74">
        <v>-11956.41</v>
      </c>
      <c r="O76" s="75">
        <v>-11956.41</v>
      </c>
      <c r="P76" s="74">
        <v>4508.8600000000006</v>
      </c>
      <c r="Q76" s="74">
        <v>12032.49</v>
      </c>
      <c r="R76" s="74">
        <v>115463.80000000002</v>
      </c>
      <c r="S76" s="74">
        <v>435598.69000000006</v>
      </c>
      <c r="T76" s="75">
        <v>435598.69000000006</v>
      </c>
      <c r="U76" s="74">
        <v>316278.29000000004</v>
      </c>
      <c r="V76" s="74">
        <v>842819.5</v>
      </c>
      <c r="W76" s="76">
        <v>523212</v>
      </c>
      <c r="X76" s="74">
        <v>554321</v>
      </c>
      <c r="Y76" s="75">
        <f>X76</f>
        <v>554321</v>
      </c>
      <c r="Z76" s="74">
        <v>778146</v>
      </c>
      <c r="AA76" s="74">
        <v>792529</v>
      </c>
      <c r="AB76" s="74">
        <v>806848</v>
      </c>
      <c r="AC76" s="74">
        <v>821251</v>
      </c>
      <c r="AD76" s="75">
        <v>821251</v>
      </c>
      <c r="AE76" s="74">
        <v>1019348</v>
      </c>
      <c r="AF76" s="74">
        <v>1120345</v>
      </c>
      <c r="AG76" s="74">
        <v>1352323</v>
      </c>
      <c r="AH76" s="74">
        <v>1674830</v>
      </c>
      <c r="AI76" s="75">
        <v>1674830</v>
      </c>
      <c r="AJ76" s="74">
        <v>1868348</v>
      </c>
      <c r="AK76" s="74">
        <v>2030519</v>
      </c>
      <c r="AL76" s="74">
        <v>2168579</v>
      </c>
      <c r="AM76" s="74">
        <v>2626459</v>
      </c>
      <c r="AN76" s="75">
        <v>2626459</v>
      </c>
      <c r="AO76" s="27"/>
      <c r="AP76" s="27"/>
      <c r="AQ76" s="27"/>
      <c r="AR76" s="27"/>
      <c r="AS76" s="27"/>
      <c r="AT76" s="27"/>
      <c r="AU76" s="27"/>
      <c r="AV76" s="27"/>
      <c r="AW76" s="27"/>
      <c r="AX76" s="27"/>
      <c r="AY76" s="27"/>
      <c r="AZ76" s="27"/>
    </row>
    <row r="77" spans="1:52" ht="15.75" customHeight="1" x14ac:dyDescent="0.2">
      <c r="A77" s="27"/>
      <c r="B77" s="50" t="s">
        <v>521</v>
      </c>
      <c r="C77" s="50"/>
      <c r="D77" s="50"/>
      <c r="E77" s="50"/>
      <c r="F77" s="74">
        <v>62763</v>
      </c>
      <c r="G77" s="74">
        <v>40440</v>
      </c>
      <c r="H77" s="74">
        <v>25147</v>
      </c>
      <c r="I77" s="74">
        <v>103556.22</v>
      </c>
      <c r="J77" s="75">
        <v>103556.22</v>
      </c>
      <c r="K77" s="74">
        <v>350987.17</v>
      </c>
      <c r="L77" s="74">
        <v>354506.12</v>
      </c>
      <c r="M77" s="74">
        <v>761817.5</v>
      </c>
      <c r="N77" s="74">
        <v>1046151.79</v>
      </c>
      <c r="O77" s="75">
        <v>1046151.79</v>
      </c>
      <c r="P77" s="74">
        <v>1623899.13</v>
      </c>
      <c r="Q77" s="74">
        <v>2025497.79</v>
      </c>
      <c r="R77" s="74">
        <v>2474197.88</v>
      </c>
      <c r="S77" s="74">
        <v>3528928.17</v>
      </c>
      <c r="T77" s="75">
        <v>3528928.17</v>
      </c>
      <c r="U77" s="74">
        <v>4664649.6100000003</v>
      </c>
      <c r="V77" s="74">
        <v>5051964</v>
      </c>
      <c r="W77" s="76">
        <v>6931566</v>
      </c>
      <c r="X77" s="74">
        <v>8843086</v>
      </c>
      <c r="Y77" s="75">
        <f>X77</f>
        <v>8843086</v>
      </c>
      <c r="Z77" s="74">
        <v>11255347</v>
      </c>
      <c r="AA77" s="74">
        <v>13637145</v>
      </c>
      <c r="AB77" s="74">
        <v>16035600</v>
      </c>
      <c r="AC77" s="74">
        <v>18427416</v>
      </c>
      <c r="AD77" s="75">
        <v>18427416</v>
      </c>
      <c r="AE77" s="74">
        <v>22475264</v>
      </c>
      <c r="AF77" s="74">
        <v>27391277</v>
      </c>
      <c r="AG77" s="74">
        <v>33373447</v>
      </c>
      <c r="AH77" s="74">
        <v>40652646</v>
      </c>
      <c r="AI77" s="75">
        <v>40652646</v>
      </c>
      <c r="AJ77" s="74">
        <v>47118934</v>
      </c>
      <c r="AK77" s="74">
        <v>54608790</v>
      </c>
      <c r="AL77" s="74">
        <v>63284163</v>
      </c>
      <c r="AM77" s="74">
        <v>73332746</v>
      </c>
      <c r="AN77" s="75">
        <v>73332746</v>
      </c>
      <c r="AO77" s="27"/>
      <c r="AP77" s="27"/>
      <c r="AQ77" s="27"/>
      <c r="AR77" s="27"/>
      <c r="AS77" s="27"/>
      <c r="AT77" s="27"/>
      <c r="AU77" s="27"/>
      <c r="AV77" s="27"/>
      <c r="AW77" s="27"/>
      <c r="AX77" s="27"/>
      <c r="AY77" s="27"/>
      <c r="AZ77" s="27"/>
    </row>
    <row r="78" spans="1:52" ht="15.75" customHeight="1" x14ac:dyDescent="0.2">
      <c r="A78" s="27"/>
      <c r="B78" s="50" t="s">
        <v>522</v>
      </c>
      <c r="C78" s="50"/>
      <c r="D78" s="50"/>
      <c r="E78" s="50"/>
      <c r="F78" s="74">
        <v>27498.21</v>
      </c>
      <c r="G78" s="74">
        <v>22552.28</v>
      </c>
      <c r="H78" s="74">
        <v>111591.51</v>
      </c>
      <c r="I78" s="74">
        <v>18626.990000000002</v>
      </c>
      <c r="J78" s="75">
        <v>18626.990000000002</v>
      </c>
      <c r="K78" s="74">
        <v>56190.47</v>
      </c>
      <c r="L78" s="74">
        <v>92091.239999999991</v>
      </c>
      <c r="M78" s="74">
        <v>166466.34</v>
      </c>
      <c r="N78" s="74">
        <v>198558.08000000002</v>
      </c>
      <c r="O78" s="75">
        <v>198558.08000000002</v>
      </c>
      <c r="P78" s="74">
        <v>229686.47000000003</v>
      </c>
      <c r="Q78" s="74">
        <v>265477</v>
      </c>
      <c r="R78" s="74">
        <v>165895.14000000001</v>
      </c>
      <c r="S78" s="74">
        <v>248080.45999999996</v>
      </c>
      <c r="T78" s="75">
        <v>248080.45999999996</v>
      </c>
      <c r="U78" s="74">
        <v>267900.28999999998</v>
      </c>
      <c r="V78" s="74">
        <v>737545</v>
      </c>
      <c r="W78" s="76">
        <v>845010</v>
      </c>
      <c r="X78" s="74">
        <v>1070795</v>
      </c>
      <c r="Y78" s="75">
        <f>X78</f>
        <v>1070795</v>
      </c>
      <c r="Z78" s="74">
        <v>1159100</v>
      </c>
      <c r="AA78" s="74">
        <v>1159100</v>
      </c>
      <c r="AB78" s="74">
        <v>1159100</v>
      </c>
      <c r="AC78" s="74">
        <v>1159100</v>
      </c>
      <c r="AD78" s="75">
        <v>1159100</v>
      </c>
      <c r="AE78" s="74">
        <v>1184608</v>
      </c>
      <c r="AF78" s="74">
        <v>1197362</v>
      </c>
      <c r="AG78" s="74">
        <v>1222870</v>
      </c>
      <c r="AH78" s="74">
        <v>1235624</v>
      </c>
      <c r="AI78" s="75">
        <v>1235624</v>
      </c>
      <c r="AJ78" s="74">
        <v>1261132</v>
      </c>
      <c r="AK78" s="74">
        <v>1273886</v>
      </c>
      <c r="AL78" s="74">
        <v>1299394</v>
      </c>
      <c r="AM78" s="74">
        <v>1312148</v>
      </c>
      <c r="AN78" s="75">
        <v>1312148</v>
      </c>
      <c r="AO78" s="27"/>
      <c r="AP78" s="27"/>
      <c r="AQ78" s="27"/>
      <c r="AR78" s="27"/>
      <c r="AS78" s="27"/>
      <c r="AT78" s="27"/>
      <c r="AU78" s="27"/>
      <c r="AV78" s="27"/>
      <c r="AW78" s="27"/>
      <c r="AX78" s="27"/>
      <c r="AY78" s="27"/>
      <c r="AZ78" s="27"/>
    </row>
    <row r="79" spans="1:52" ht="15.75" customHeight="1" x14ac:dyDescent="0.2">
      <c r="A79" s="27"/>
      <c r="B79" s="61" t="s">
        <v>523</v>
      </c>
      <c r="C79" s="61"/>
      <c r="D79" s="61"/>
      <c r="E79" s="61"/>
      <c r="F79" s="82">
        <f t="shared" ref="F79:AN79" si="21">+SUM(F76:F78)</f>
        <v>93975.97</v>
      </c>
      <c r="G79" s="82">
        <f t="shared" si="21"/>
        <v>68566.679999999993</v>
      </c>
      <c r="H79" s="82">
        <f t="shared" si="21"/>
        <v>156248.94</v>
      </c>
      <c r="I79" s="82">
        <f t="shared" si="21"/>
        <v>145149.70000000001</v>
      </c>
      <c r="J79" s="83">
        <f t="shared" si="21"/>
        <v>145149.70000000001</v>
      </c>
      <c r="K79" s="82">
        <f t="shared" si="21"/>
        <v>421160.23</v>
      </c>
      <c r="L79" s="82">
        <f t="shared" si="21"/>
        <v>475410.7</v>
      </c>
      <c r="M79" s="82">
        <f t="shared" si="21"/>
        <v>966959.90999999992</v>
      </c>
      <c r="N79" s="82">
        <f t="shared" si="21"/>
        <v>1232753.46</v>
      </c>
      <c r="O79" s="83">
        <f t="shared" si="21"/>
        <v>1232753.46</v>
      </c>
      <c r="P79" s="82">
        <f t="shared" si="21"/>
        <v>1858094.46</v>
      </c>
      <c r="Q79" s="82">
        <f t="shared" si="21"/>
        <v>2303007.2800000003</v>
      </c>
      <c r="R79" s="82">
        <f t="shared" si="21"/>
        <v>2755556.82</v>
      </c>
      <c r="S79" s="82">
        <f t="shared" si="21"/>
        <v>4212607.32</v>
      </c>
      <c r="T79" s="83">
        <f t="shared" si="21"/>
        <v>4212607.32</v>
      </c>
      <c r="U79" s="82">
        <f t="shared" si="21"/>
        <v>5248828.1900000004</v>
      </c>
      <c r="V79" s="82">
        <f t="shared" si="21"/>
        <v>6632328.5</v>
      </c>
      <c r="W79" s="84">
        <f t="shared" si="21"/>
        <v>8299788</v>
      </c>
      <c r="X79" s="82">
        <f t="shared" si="21"/>
        <v>10468202</v>
      </c>
      <c r="Y79" s="83">
        <f t="shared" si="21"/>
        <v>10468202</v>
      </c>
      <c r="Z79" s="82">
        <f t="shared" si="21"/>
        <v>13192593</v>
      </c>
      <c r="AA79" s="82">
        <f t="shared" si="21"/>
        <v>15588774</v>
      </c>
      <c r="AB79" s="82">
        <f t="shared" si="21"/>
        <v>18001548</v>
      </c>
      <c r="AC79" s="82">
        <f t="shared" si="21"/>
        <v>20407767</v>
      </c>
      <c r="AD79" s="83">
        <f t="shared" si="21"/>
        <v>20407767</v>
      </c>
      <c r="AE79" s="82">
        <f t="shared" si="21"/>
        <v>24679220</v>
      </c>
      <c r="AF79" s="82">
        <f t="shared" si="21"/>
        <v>29708984</v>
      </c>
      <c r="AG79" s="82">
        <f t="shared" si="21"/>
        <v>35948640</v>
      </c>
      <c r="AH79" s="82">
        <f t="shared" si="21"/>
        <v>43563100</v>
      </c>
      <c r="AI79" s="83">
        <f t="shared" si="21"/>
        <v>43563100</v>
      </c>
      <c r="AJ79" s="82">
        <f t="shared" si="21"/>
        <v>50248414</v>
      </c>
      <c r="AK79" s="82">
        <f t="shared" si="21"/>
        <v>57913195</v>
      </c>
      <c r="AL79" s="82">
        <f t="shared" si="21"/>
        <v>66752136</v>
      </c>
      <c r="AM79" s="82">
        <f t="shared" si="21"/>
        <v>77271353</v>
      </c>
      <c r="AN79" s="83">
        <f t="shared" si="21"/>
        <v>77271353</v>
      </c>
      <c r="AO79" s="27"/>
      <c r="AP79" s="27"/>
      <c r="AQ79" s="27"/>
      <c r="AR79" s="27"/>
      <c r="AS79" s="27"/>
      <c r="AT79" s="27"/>
      <c r="AU79" s="27"/>
      <c r="AV79" s="27"/>
      <c r="AW79" s="27"/>
      <c r="AX79" s="27"/>
      <c r="AY79" s="27"/>
      <c r="AZ79" s="27"/>
    </row>
    <row r="80" spans="1:52" ht="15.75" customHeight="1" x14ac:dyDescent="0.2">
      <c r="A80" s="27"/>
      <c r="B80" s="78" t="s">
        <v>524</v>
      </c>
      <c r="C80" s="78"/>
      <c r="D80" s="78"/>
      <c r="E80" s="78"/>
      <c r="F80" s="79"/>
      <c r="G80" s="79"/>
      <c r="H80" s="79"/>
      <c r="I80" s="79"/>
      <c r="J80" s="80"/>
      <c r="K80" s="79"/>
      <c r="L80" s="79"/>
      <c r="M80" s="79"/>
      <c r="N80" s="79"/>
      <c r="O80" s="80"/>
      <c r="P80" s="79"/>
      <c r="Q80" s="79"/>
      <c r="R80" s="79"/>
      <c r="S80" s="79"/>
      <c r="T80" s="80"/>
      <c r="U80" s="79"/>
      <c r="V80" s="79"/>
      <c r="W80" s="81"/>
      <c r="X80" s="79"/>
      <c r="Y80" s="80"/>
      <c r="Z80" s="79"/>
      <c r="AA80" s="79"/>
      <c r="AB80" s="79"/>
      <c r="AC80" s="79"/>
      <c r="AD80" s="80"/>
      <c r="AE80" s="79"/>
      <c r="AF80" s="79"/>
      <c r="AG80" s="79"/>
      <c r="AH80" s="79"/>
      <c r="AI80" s="80"/>
      <c r="AJ80" s="79"/>
      <c r="AK80" s="79"/>
      <c r="AL80" s="79"/>
      <c r="AM80" s="79"/>
      <c r="AN80" s="80"/>
      <c r="AO80" s="27"/>
      <c r="AP80" s="27"/>
      <c r="AQ80" s="27"/>
      <c r="AR80" s="27"/>
      <c r="AS80" s="27"/>
      <c r="AT80" s="27"/>
      <c r="AU80" s="27"/>
      <c r="AV80" s="27"/>
      <c r="AW80" s="27"/>
      <c r="AX80" s="27"/>
      <c r="AY80" s="27"/>
      <c r="AZ80" s="27"/>
    </row>
    <row r="81" spans="1:52" ht="15.75" customHeight="1" x14ac:dyDescent="0.2">
      <c r="A81" s="27"/>
      <c r="B81" s="50" t="s">
        <v>525</v>
      </c>
      <c r="C81" s="50"/>
      <c r="D81" s="50"/>
      <c r="E81" s="50"/>
      <c r="F81" s="74">
        <v>0</v>
      </c>
      <c r="G81" s="74">
        <v>0</v>
      </c>
      <c r="H81" s="74">
        <v>4891091.3199999994</v>
      </c>
      <c r="I81" s="74">
        <v>4891091.32</v>
      </c>
      <c r="J81" s="75">
        <v>4891091.32</v>
      </c>
      <c r="K81" s="74">
        <v>4891091.32</v>
      </c>
      <c r="L81" s="74">
        <v>18642334.550000001</v>
      </c>
      <c r="M81" s="74">
        <v>18795270.039999999</v>
      </c>
      <c r="N81" s="74">
        <v>18795270.039999999</v>
      </c>
      <c r="O81" s="75">
        <v>18795270.039999999</v>
      </c>
      <c r="P81" s="74">
        <v>18776306.460000001</v>
      </c>
      <c r="Q81" s="74">
        <v>53698354.759999998</v>
      </c>
      <c r="R81" s="74">
        <v>53696255.609999992</v>
      </c>
      <c r="S81" s="74">
        <v>53696255.519999996</v>
      </c>
      <c r="T81" s="75">
        <v>53696255.519999996</v>
      </c>
      <c r="U81" s="74">
        <v>53696255.319999993</v>
      </c>
      <c r="V81" s="74">
        <v>53696255</v>
      </c>
      <c r="W81" s="76">
        <v>83696255</v>
      </c>
      <c r="X81" s="74">
        <v>83696255</v>
      </c>
      <c r="Y81" s="75">
        <f>X81</f>
        <v>83696255</v>
      </c>
      <c r="Z81" s="74">
        <v>83696255</v>
      </c>
      <c r="AA81" s="74">
        <v>83696255</v>
      </c>
      <c r="AB81" s="74">
        <v>83696255</v>
      </c>
      <c r="AC81" s="74">
        <v>83696255</v>
      </c>
      <c r="AD81" s="75">
        <v>83696255</v>
      </c>
      <c r="AE81" s="74">
        <v>83696255</v>
      </c>
      <c r="AF81" s="74">
        <v>83696255</v>
      </c>
      <c r="AG81" s="74">
        <v>83696255</v>
      </c>
      <c r="AH81" s="74">
        <v>83696255</v>
      </c>
      <c r="AI81" s="75">
        <v>83696255</v>
      </c>
      <c r="AJ81" s="74">
        <v>83696255</v>
      </c>
      <c r="AK81" s="74">
        <v>83696255</v>
      </c>
      <c r="AL81" s="74">
        <v>83696255</v>
      </c>
      <c r="AM81" s="74">
        <v>83696255</v>
      </c>
      <c r="AN81" s="75">
        <v>83696255</v>
      </c>
      <c r="AO81" s="27"/>
      <c r="AP81" s="27"/>
      <c r="AQ81" s="27"/>
      <c r="AR81" s="27"/>
      <c r="AS81" s="27"/>
      <c r="AT81" s="27"/>
      <c r="AU81" s="27"/>
      <c r="AV81" s="27"/>
      <c r="AW81" s="27"/>
      <c r="AX81" s="27"/>
      <c r="AY81" s="27"/>
      <c r="AZ81" s="27"/>
    </row>
    <row r="82" spans="1:52" ht="15.75" customHeight="1" x14ac:dyDescent="0.2">
      <c r="A82" s="27"/>
      <c r="B82" s="50" t="s">
        <v>526</v>
      </c>
      <c r="C82" s="50"/>
      <c r="D82" s="50"/>
      <c r="E82" s="50"/>
      <c r="F82" s="74">
        <v>20000</v>
      </c>
      <c r="G82" s="74">
        <v>20000</v>
      </c>
      <c r="H82" s="74">
        <v>20000</v>
      </c>
      <c r="I82" s="74">
        <v>20000</v>
      </c>
      <c r="J82" s="75">
        <v>20000</v>
      </c>
      <c r="K82" s="74">
        <v>20000</v>
      </c>
      <c r="L82" s="74">
        <v>20000</v>
      </c>
      <c r="M82" s="74">
        <v>20000</v>
      </c>
      <c r="N82" s="74">
        <v>80152.06</v>
      </c>
      <c r="O82" s="75">
        <v>80152.06</v>
      </c>
      <c r="P82" s="74">
        <v>340006.04000000004</v>
      </c>
      <c r="Q82" s="74">
        <v>368908.19</v>
      </c>
      <c r="R82" s="74">
        <v>385295.33</v>
      </c>
      <c r="S82" s="74">
        <v>412322.24000000005</v>
      </c>
      <c r="T82" s="75">
        <v>412322.24000000005</v>
      </c>
      <c r="U82" s="74">
        <v>559312.99</v>
      </c>
      <c r="V82" s="74">
        <v>577063</v>
      </c>
      <c r="W82" s="76">
        <v>577063</v>
      </c>
      <c r="X82" s="74">
        <v>577063</v>
      </c>
      <c r="Y82" s="75">
        <f>X82</f>
        <v>577063</v>
      </c>
      <c r="Z82" s="74">
        <v>577063</v>
      </c>
      <c r="AA82" s="74">
        <v>577063</v>
      </c>
      <c r="AB82" s="74">
        <v>577063</v>
      </c>
      <c r="AC82" s="74">
        <v>577063</v>
      </c>
      <c r="AD82" s="75">
        <v>577063</v>
      </c>
      <c r="AE82" s="74">
        <v>577063</v>
      </c>
      <c r="AF82" s="74">
        <v>577063</v>
      </c>
      <c r="AG82" s="74">
        <v>577063</v>
      </c>
      <c r="AH82" s="74">
        <v>577063</v>
      </c>
      <c r="AI82" s="75">
        <v>577063</v>
      </c>
      <c r="AJ82" s="74">
        <v>577063</v>
      </c>
      <c r="AK82" s="74">
        <v>577063</v>
      </c>
      <c r="AL82" s="74">
        <v>577063</v>
      </c>
      <c r="AM82" s="74">
        <v>577063</v>
      </c>
      <c r="AN82" s="75">
        <v>577063</v>
      </c>
      <c r="AO82" s="27"/>
      <c r="AP82" s="27"/>
      <c r="AQ82" s="27"/>
      <c r="AR82" s="27"/>
      <c r="AS82" s="27"/>
      <c r="AT82" s="27"/>
      <c r="AU82" s="27"/>
      <c r="AV82" s="27"/>
      <c r="AW82" s="27"/>
      <c r="AX82" s="27"/>
      <c r="AY82" s="27"/>
      <c r="AZ82" s="27"/>
    </row>
    <row r="83" spans="1:52" ht="15.75" customHeight="1" x14ac:dyDescent="0.2">
      <c r="A83" s="27"/>
      <c r="B83" s="50" t="s">
        <v>527</v>
      </c>
      <c r="C83" s="50"/>
      <c r="D83" s="50"/>
      <c r="E83" s="50"/>
      <c r="F83" s="74">
        <v>3783.869999999999</v>
      </c>
      <c r="G83" s="74">
        <v>11375.559999999998</v>
      </c>
      <c r="H83" s="74">
        <v>-82672.41</v>
      </c>
      <c r="I83" s="74">
        <v>-419986.56000000006</v>
      </c>
      <c r="J83" s="75">
        <v>-419986.56000000006</v>
      </c>
      <c r="K83" s="74">
        <v>-922640.07000000007</v>
      </c>
      <c r="L83" s="74">
        <v>-1658432.02</v>
      </c>
      <c r="M83" s="74">
        <v>-2469090.71</v>
      </c>
      <c r="N83" s="74">
        <v>-3881928.41</v>
      </c>
      <c r="O83" s="75">
        <v>-3881928.41</v>
      </c>
      <c r="P83" s="74">
        <v>-5898301.7599999998</v>
      </c>
      <c r="Q83" s="74">
        <v>-8939314.8900000006</v>
      </c>
      <c r="R83" s="74">
        <v>-13413972.1</v>
      </c>
      <c r="S83" s="74">
        <v>-19386797.93</v>
      </c>
      <c r="T83" s="75">
        <v>-19386797.93</v>
      </c>
      <c r="U83" s="74">
        <v>-26191986.859999999</v>
      </c>
      <c r="V83" s="74">
        <v>-35669274</v>
      </c>
      <c r="W83" s="76">
        <v>-44278234</v>
      </c>
      <c r="X83" s="74">
        <v>-52094341</v>
      </c>
      <c r="Y83" s="75">
        <f>X83</f>
        <v>-52094341</v>
      </c>
      <c r="Z83" s="74">
        <v>-60184233</v>
      </c>
      <c r="AA83" s="74">
        <v>-67344690</v>
      </c>
      <c r="AB83" s="74">
        <v>-73615616</v>
      </c>
      <c r="AC83" s="74">
        <v>-79578200</v>
      </c>
      <c r="AD83" s="75">
        <v>-79578200</v>
      </c>
      <c r="AE83" s="74">
        <v>-86690014</v>
      </c>
      <c r="AF83" s="74">
        <v>-93870851</v>
      </c>
      <c r="AG83" s="74">
        <v>-101337744</v>
      </c>
      <c r="AH83" s="74">
        <v>-108865311</v>
      </c>
      <c r="AI83" s="75">
        <v>-108865311</v>
      </c>
      <c r="AJ83" s="74">
        <v>-117238993</v>
      </c>
      <c r="AK83" s="74">
        <v>-125822737</v>
      </c>
      <c r="AL83" s="74">
        <v>-134546111</v>
      </c>
      <c r="AM83" s="74">
        <v>-143095530</v>
      </c>
      <c r="AN83" s="75">
        <v>-143095530</v>
      </c>
      <c r="AO83" s="27"/>
      <c r="AP83" s="27"/>
      <c r="AQ83" s="27"/>
      <c r="AR83" s="27"/>
      <c r="AS83" s="27"/>
      <c r="AT83" s="27"/>
      <c r="AU83" s="27"/>
      <c r="AV83" s="27"/>
      <c r="AW83" s="27"/>
      <c r="AX83" s="27"/>
      <c r="AY83" s="27"/>
      <c r="AZ83" s="27"/>
    </row>
    <row r="84" spans="1:52" ht="15.75" customHeight="1" x14ac:dyDescent="0.2">
      <c r="A84" s="27"/>
      <c r="B84" s="61" t="s">
        <v>528</v>
      </c>
      <c r="C84" s="61"/>
      <c r="D84" s="61"/>
      <c r="E84" s="61"/>
      <c r="F84" s="82">
        <f t="shared" ref="F84:AN84" si="22">+SUM(F81:F83)</f>
        <v>23783.87</v>
      </c>
      <c r="G84" s="82">
        <f t="shared" si="22"/>
        <v>31375.559999999998</v>
      </c>
      <c r="H84" s="82">
        <f t="shared" si="22"/>
        <v>4828418.9099999992</v>
      </c>
      <c r="I84" s="82">
        <f t="shared" si="22"/>
        <v>4491104.76</v>
      </c>
      <c r="J84" s="83">
        <f t="shared" si="22"/>
        <v>4491104.76</v>
      </c>
      <c r="K84" s="82">
        <f t="shared" si="22"/>
        <v>3988451.25</v>
      </c>
      <c r="L84" s="82">
        <f t="shared" si="22"/>
        <v>17003902.530000001</v>
      </c>
      <c r="M84" s="82">
        <f t="shared" si="22"/>
        <v>16346179.329999998</v>
      </c>
      <c r="N84" s="82">
        <f t="shared" si="22"/>
        <v>14993493.689999998</v>
      </c>
      <c r="O84" s="83">
        <f t="shared" si="22"/>
        <v>14993493.689999998</v>
      </c>
      <c r="P84" s="82">
        <f t="shared" si="22"/>
        <v>13218010.74</v>
      </c>
      <c r="Q84" s="82">
        <f t="shared" si="22"/>
        <v>45127948.059999995</v>
      </c>
      <c r="R84" s="82">
        <f t="shared" si="22"/>
        <v>40667578.839999989</v>
      </c>
      <c r="S84" s="82">
        <f t="shared" si="22"/>
        <v>34721779.829999998</v>
      </c>
      <c r="T84" s="83">
        <f t="shared" si="22"/>
        <v>34721779.829999998</v>
      </c>
      <c r="U84" s="82">
        <f t="shared" si="22"/>
        <v>28063581.449999996</v>
      </c>
      <c r="V84" s="82">
        <f t="shared" si="22"/>
        <v>18604044</v>
      </c>
      <c r="W84" s="84">
        <f t="shared" si="22"/>
        <v>39995084</v>
      </c>
      <c r="X84" s="82">
        <f t="shared" si="22"/>
        <v>32178977</v>
      </c>
      <c r="Y84" s="83">
        <f t="shared" si="22"/>
        <v>32178977</v>
      </c>
      <c r="Z84" s="82">
        <f t="shared" si="22"/>
        <v>24089085</v>
      </c>
      <c r="AA84" s="82">
        <f t="shared" si="22"/>
        <v>16928628</v>
      </c>
      <c r="AB84" s="82">
        <f t="shared" si="22"/>
        <v>10657702</v>
      </c>
      <c r="AC84" s="82">
        <f t="shared" si="22"/>
        <v>4695118</v>
      </c>
      <c r="AD84" s="83">
        <f t="shared" si="22"/>
        <v>4695118</v>
      </c>
      <c r="AE84" s="82">
        <f t="shared" si="22"/>
        <v>-2416696</v>
      </c>
      <c r="AF84" s="82">
        <f t="shared" si="22"/>
        <v>-9597533</v>
      </c>
      <c r="AG84" s="82">
        <f t="shared" si="22"/>
        <v>-17064426</v>
      </c>
      <c r="AH84" s="82">
        <f t="shared" si="22"/>
        <v>-24591993</v>
      </c>
      <c r="AI84" s="83">
        <f t="shared" si="22"/>
        <v>-24591993</v>
      </c>
      <c r="AJ84" s="82">
        <f t="shared" si="22"/>
        <v>-32965675</v>
      </c>
      <c r="AK84" s="82">
        <f t="shared" si="22"/>
        <v>-41549419</v>
      </c>
      <c r="AL84" s="82">
        <f t="shared" si="22"/>
        <v>-50272793</v>
      </c>
      <c r="AM84" s="82">
        <f t="shared" si="22"/>
        <v>-58822212</v>
      </c>
      <c r="AN84" s="83">
        <f t="shared" si="22"/>
        <v>-58822212</v>
      </c>
      <c r="AO84" s="27"/>
      <c r="AP84" s="27"/>
      <c r="AQ84" s="27"/>
      <c r="AR84" s="27"/>
      <c r="AS84" s="27"/>
      <c r="AT84" s="27"/>
      <c r="AU84" s="27"/>
      <c r="AV84" s="27"/>
      <c r="AW84" s="27"/>
      <c r="AX84" s="27"/>
      <c r="AY84" s="27"/>
      <c r="AZ84" s="27"/>
    </row>
    <row r="85" spans="1:52" ht="15.75" customHeight="1" thickBot="1" x14ac:dyDescent="0.25">
      <c r="A85" s="27"/>
      <c r="B85" s="89" t="s">
        <v>529</v>
      </c>
      <c r="C85" s="89"/>
      <c r="D85" s="89"/>
      <c r="E85" s="89"/>
      <c r="F85" s="90">
        <f t="shared" ref="F85:AN85" si="23">+F79+F84</f>
        <v>117759.84</v>
      </c>
      <c r="G85" s="90">
        <f t="shared" si="23"/>
        <v>99942.239999999991</v>
      </c>
      <c r="H85" s="90">
        <f t="shared" si="23"/>
        <v>4984667.8499999996</v>
      </c>
      <c r="I85" s="90">
        <f t="shared" si="23"/>
        <v>4636254.46</v>
      </c>
      <c r="J85" s="91">
        <f t="shared" si="23"/>
        <v>4636254.46</v>
      </c>
      <c r="K85" s="90">
        <f t="shared" si="23"/>
        <v>4409611.4800000004</v>
      </c>
      <c r="L85" s="90">
        <f t="shared" si="23"/>
        <v>17479313.23</v>
      </c>
      <c r="M85" s="90">
        <f t="shared" si="23"/>
        <v>17313139.239999998</v>
      </c>
      <c r="N85" s="90">
        <f t="shared" si="23"/>
        <v>16226247.149999999</v>
      </c>
      <c r="O85" s="91">
        <f t="shared" si="23"/>
        <v>16226247.149999999</v>
      </c>
      <c r="P85" s="90">
        <f t="shared" si="23"/>
        <v>15076105.199999999</v>
      </c>
      <c r="Q85" s="90">
        <f t="shared" si="23"/>
        <v>47430955.339999996</v>
      </c>
      <c r="R85" s="90">
        <f t="shared" si="23"/>
        <v>43423135.659999989</v>
      </c>
      <c r="S85" s="90">
        <f t="shared" si="23"/>
        <v>38934387.149999999</v>
      </c>
      <c r="T85" s="91">
        <f t="shared" si="23"/>
        <v>38934387.149999999</v>
      </c>
      <c r="U85" s="90">
        <f t="shared" si="23"/>
        <v>33312409.639999997</v>
      </c>
      <c r="V85" s="90">
        <f t="shared" si="23"/>
        <v>25236372.5</v>
      </c>
      <c r="W85" s="92">
        <f t="shared" si="23"/>
        <v>48294872</v>
      </c>
      <c r="X85" s="90">
        <f t="shared" si="23"/>
        <v>42647179</v>
      </c>
      <c r="Y85" s="91">
        <f t="shared" si="23"/>
        <v>42647179</v>
      </c>
      <c r="Z85" s="90">
        <f t="shared" si="23"/>
        <v>37281678</v>
      </c>
      <c r="AA85" s="90">
        <f t="shared" si="23"/>
        <v>32517402</v>
      </c>
      <c r="AB85" s="90">
        <f t="shared" si="23"/>
        <v>28659250</v>
      </c>
      <c r="AC85" s="90">
        <f t="shared" si="23"/>
        <v>25102885</v>
      </c>
      <c r="AD85" s="91">
        <f t="shared" si="23"/>
        <v>25102885</v>
      </c>
      <c r="AE85" s="90">
        <f t="shared" si="23"/>
        <v>22262524</v>
      </c>
      <c r="AF85" s="90">
        <f t="shared" si="23"/>
        <v>20111451</v>
      </c>
      <c r="AG85" s="90">
        <f t="shared" si="23"/>
        <v>18884214</v>
      </c>
      <c r="AH85" s="90">
        <f t="shared" si="23"/>
        <v>18971107</v>
      </c>
      <c r="AI85" s="91">
        <f t="shared" si="23"/>
        <v>18971107</v>
      </c>
      <c r="AJ85" s="90">
        <f t="shared" si="23"/>
        <v>17282739</v>
      </c>
      <c r="AK85" s="90">
        <f t="shared" si="23"/>
        <v>16363776</v>
      </c>
      <c r="AL85" s="90">
        <f t="shared" si="23"/>
        <v>16479343</v>
      </c>
      <c r="AM85" s="90">
        <f t="shared" si="23"/>
        <v>18449141</v>
      </c>
      <c r="AN85" s="91">
        <f t="shared" si="23"/>
        <v>18449141</v>
      </c>
      <c r="AO85" s="27"/>
      <c r="AP85" s="27"/>
      <c r="AQ85" s="27"/>
      <c r="AR85" s="27"/>
      <c r="AS85" s="27"/>
      <c r="AT85" s="27"/>
      <c r="AU85" s="27"/>
      <c r="AV85" s="27"/>
      <c r="AW85" s="27"/>
      <c r="AX85" s="27"/>
      <c r="AY85" s="27"/>
      <c r="AZ85" s="27"/>
    </row>
    <row r="86" spans="1:52" ht="15.75" customHeight="1" thickTop="1" x14ac:dyDescent="0.2">
      <c r="A86" s="27"/>
      <c r="B86" s="65" t="s">
        <v>8</v>
      </c>
      <c r="C86" s="65"/>
      <c r="D86" s="65"/>
      <c r="E86" s="65"/>
      <c r="F86" s="96">
        <f t="shared" ref="F86:AN86" si="24">+FLOOR(ABS(F72-F85),5)</f>
        <v>0</v>
      </c>
      <c r="G86" s="96">
        <f t="shared" si="24"/>
        <v>0</v>
      </c>
      <c r="H86" s="96">
        <f t="shared" si="24"/>
        <v>0</v>
      </c>
      <c r="I86" s="96">
        <f t="shared" si="24"/>
        <v>0</v>
      </c>
      <c r="J86" s="97">
        <f t="shared" si="24"/>
        <v>0</v>
      </c>
      <c r="K86" s="96">
        <f t="shared" si="24"/>
        <v>0</v>
      </c>
      <c r="L86" s="96">
        <f t="shared" si="24"/>
        <v>0</v>
      </c>
      <c r="M86" s="96">
        <f t="shared" si="24"/>
        <v>0</v>
      </c>
      <c r="N86" s="96">
        <f t="shared" si="24"/>
        <v>0</v>
      </c>
      <c r="O86" s="97">
        <f t="shared" si="24"/>
        <v>0</v>
      </c>
      <c r="P86" s="96">
        <f t="shared" si="24"/>
        <v>0</v>
      </c>
      <c r="Q86" s="96">
        <f t="shared" si="24"/>
        <v>0</v>
      </c>
      <c r="R86" s="96">
        <f t="shared" si="24"/>
        <v>0</v>
      </c>
      <c r="S86" s="96">
        <f t="shared" si="24"/>
        <v>0</v>
      </c>
      <c r="T86" s="97">
        <f t="shared" si="24"/>
        <v>0</v>
      </c>
      <c r="U86" s="96">
        <f t="shared" si="24"/>
        <v>0</v>
      </c>
      <c r="V86" s="96">
        <f t="shared" si="24"/>
        <v>0</v>
      </c>
      <c r="W86" s="98">
        <f t="shared" si="24"/>
        <v>0</v>
      </c>
      <c r="X86" s="96">
        <f t="shared" si="24"/>
        <v>0</v>
      </c>
      <c r="Y86" s="97">
        <f t="shared" si="24"/>
        <v>0</v>
      </c>
      <c r="Z86" s="96">
        <f t="shared" si="24"/>
        <v>0</v>
      </c>
      <c r="AA86" s="96">
        <f t="shared" si="24"/>
        <v>0</v>
      </c>
      <c r="AB86" s="96">
        <f t="shared" si="24"/>
        <v>0</v>
      </c>
      <c r="AC86" s="96">
        <f t="shared" si="24"/>
        <v>0</v>
      </c>
      <c r="AD86" s="97">
        <f t="shared" si="24"/>
        <v>0</v>
      </c>
      <c r="AE86" s="96">
        <f t="shared" si="24"/>
        <v>0</v>
      </c>
      <c r="AF86" s="96">
        <f t="shared" si="24"/>
        <v>0</v>
      </c>
      <c r="AG86" s="96">
        <f t="shared" si="24"/>
        <v>0</v>
      </c>
      <c r="AH86" s="96">
        <f t="shared" si="24"/>
        <v>0</v>
      </c>
      <c r="AI86" s="97">
        <f t="shared" si="24"/>
        <v>0</v>
      </c>
      <c r="AJ86" s="96">
        <f t="shared" si="24"/>
        <v>0</v>
      </c>
      <c r="AK86" s="96">
        <f t="shared" si="24"/>
        <v>0</v>
      </c>
      <c r="AL86" s="96">
        <f t="shared" si="24"/>
        <v>0</v>
      </c>
      <c r="AM86" s="96">
        <f t="shared" si="24"/>
        <v>0</v>
      </c>
      <c r="AN86" s="97">
        <f t="shared" si="24"/>
        <v>0</v>
      </c>
      <c r="AO86" s="27"/>
      <c r="AP86" s="27"/>
      <c r="AQ86" s="27"/>
      <c r="AR86" s="27"/>
      <c r="AS86" s="27"/>
      <c r="AT86" s="27"/>
      <c r="AU86" s="27"/>
      <c r="AV86" s="27"/>
      <c r="AW86" s="27"/>
      <c r="AX86" s="27"/>
      <c r="AY86" s="27"/>
      <c r="AZ86" s="27"/>
    </row>
    <row r="87" spans="1:52" ht="15.75" customHeight="1" x14ac:dyDescent="0.2">
      <c r="A87" s="27"/>
      <c r="B87" s="69"/>
      <c r="C87" s="69"/>
      <c r="D87" s="69"/>
      <c r="E87" s="69"/>
      <c r="F87" s="74"/>
      <c r="G87" s="74"/>
      <c r="H87" s="74"/>
      <c r="I87" s="74"/>
      <c r="J87" s="75"/>
      <c r="K87" s="74"/>
      <c r="L87" s="74"/>
      <c r="M87" s="74"/>
      <c r="N87" s="74"/>
      <c r="O87" s="75"/>
      <c r="P87" s="74"/>
      <c r="Q87" s="74"/>
      <c r="R87" s="74"/>
      <c r="S87" s="74"/>
      <c r="T87" s="75"/>
      <c r="U87" s="74"/>
      <c r="V87" s="74"/>
      <c r="W87" s="76"/>
      <c r="X87" s="74"/>
      <c r="Y87" s="75"/>
      <c r="Z87" s="74"/>
      <c r="AA87" s="74"/>
      <c r="AB87" s="74"/>
      <c r="AC87" s="74"/>
      <c r="AD87" s="75"/>
      <c r="AE87" s="74"/>
      <c r="AF87" s="74"/>
      <c r="AG87" s="74"/>
      <c r="AH87" s="74"/>
      <c r="AI87" s="75"/>
      <c r="AJ87" s="74"/>
      <c r="AK87" s="74"/>
      <c r="AL87" s="74"/>
      <c r="AM87" s="74"/>
      <c r="AN87" s="75"/>
      <c r="AO87" s="27"/>
      <c r="AP87" s="27"/>
      <c r="AQ87" s="27"/>
      <c r="AR87" s="27"/>
      <c r="AS87" s="27"/>
      <c r="AT87" s="27"/>
      <c r="AU87" s="27"/>
      <c r="AV87" s="27"/>
      <c r="AW87" s="27"/>
      <c r="AX87" s="27"/>
      <c r="AY87" s="27"/>
      <c r="AZ87" s="27"/>
    </row>
    <row r="88" spans="1:52" ht="15.75" customHeight="1" x14ac:dyDescent="0.2">
      <c r="A88" s="27"/>
      <c r="B88" s="99" t="s">
        <v>530</v>
      </c>
      <c r="C88" s="47"/>
      <c r="D88" s="47"/>
      <c r="E88" s="47"/>
      <c r="F88" s="48"/>
      <c r="G88" s="48"/>
      <c r="H88" s="48"/>
      <c r="I88" s="48"/>
      <c r="J88" s="48"/>
      <c r="K88" s="48"/>
      <c r="L88" s="48"/>
      <c r="M88" s="48"/>
      <c r="N88" s="48"/>
      <c r="O88" s="48"/>
      <c r="P88" s="48"/>
      <c r="Q88" s="48"/>
      <c r="R88" s="48"/>
      <c r="S88" s="48"/>
      <c r="T88" s="48"/>
      <c r="U88" s="48"/>
      <c r="V88" s="48"/>
      <c r="W88" s="49"/>
      <c r="X88" s="48"/>
      <c r="Y88" s="48"/>
      <c r="Z88" s="48"/>
      <c r="AA88" s="48"/>
      <c r="AB88" s="48"/>
      <c r="AC88" s="48"/>
      <c r="AD88" s="48"/>
      <c r="AE88" s="48"/>
      <c r="AF88" s="48"/>
      <c r="AG88" s="48"/>
      <c r="AH88" s="48"/>
      <c r="AI88" s="48"/>
      <c r="AJ88" s="48"/>
      <c r="AK88" s="48"/>
      <c r="AL88" s="48"/>
      <c r="AM88" s="48"/>
      <c r="AN88" s="48"/>
      <c r="AO88" s="27"/>
      <c r="AP88" s="27"/>
      <c r="AQ88" s="27"/>
      <c r="AR88" s="27"/>
      <c r="AS88" s="27"/>
      <c r="AT88" s="27"/>
      <c r="AU88" s="27"/>
      <c r="AV88" s="27"/>
      <c r="AW88" s="27"/>
      <c r="AX88" s="27"/>
      <c r="AY88" s="27"/>
      <c r="AZ88" s="27"/>
    </row>
    <row r="89" spans="1:52" ht="15.75" customHeight="1" x14ac:dyDescent="0.2">
      <c r="A89" s="27"/>
      <c r="B89" s="78" t="s">
        <v>531</v>
      </c>
      <c r="C89" s="78"/>
      <c r="D89" s="78"/>
      <c r="E89" s="78"/>
      <c r="F89" s="79"/>
      <c r="G89" s="79"/>
      <c r="H89" s="79"/>
      <c r="I89" s="79"/>
      <c r="J89" s="80"/>
      <c r="K89" s="79"/>
      <c r="L89" s="79"/>
      <c r="M89" s="79"/>
      <c r="N89" s="79"/>
      <c r="O89" s="80"/>
      <c r="P89" s="79"/>
      <c r="Q89" s="79"/>
      <c r="R89" s="79"/>
      <c r="S89" s="79"/>
      <c r="T89" s="80"/>
      <c r="U89" s="79"/>
      <c r="V89" s="79"/>
      <c r="W89" s="81"/>
      <c r="X89" s="79"/>
      <c r="Y89" s="80"/>
      <c r="Z89" s="79"/>
      <c r="AA89" s="79"/>
      <c r="AB89" s="79"/>
      <c r="AC89" s="79"/>
      <c r="AD89" s="80"/>
      <c r="AE89" s="79"/>
      <c r="AF89" s="79"/>
      <c r="AG89" s="79"/>
      <c r="AH89" s="79"/>
      <c r="AI89" s="80"/>
      <c r="AJ89" s="79"/>
      <c r="AK89" s="79"/>
      <c r="AL89" s="79"/>
      <c r="AM89" s="79"/>
      <c r="AN89" s="80"/>
      <c r="AO89" s="27"/>
      <c r="AP89" s="27"/>
      <c r="AQ89" s="27"/>
      <c r="AR89" s="27"/>
      <c r="AS89" s="27"/>
      <c r="AT89" s="27"/>
      <c r="AU89" s="27"/>
      <c r="AV89" s="27"/>
      <c r="AW89" s="27"/>
      <c r="AX89" s="27"/>
      <c r="AY89" s="27"/>
      <c r="AZ89" s="27"/>
    </row>
    <row r="90" spans="1:52" ht="15.75" customHeight="1" x14ac:dyDescent="0.2">
      <c r="A90" s="27"/>
      <c r="B90" s="50" t="s">
        <v>507</v>
      </c>
      <c r="C90" s="50"/>
      <c r="D90" s="50"/>
      <c r="E90" s="50"/>
      <c r="F90" s="74">
        <f t="shared" ref="F90:AN90" si="25">+F60</f>
        <v>24094.09</v>
      </c>
      <c r="G90" s="74">
        <f t="shared" si="25"/>
        <v>7591.6900000000005</v>
      </c>
      <c r="H90" s="74">
        <f t="shared" si="25"/>
        <v>-94047.969999999987</v>
      </c>
      <c r="I90" s="74">
        <f t="shared" si="25"/>
        <v>-337314.14999999997</v>
      </c>
      <c r="J90" s="75">
        <f t="shared" si="25"/>
        <v>-399676.33999999997</v>
      </c>
      <c r="K90" s="74">
        <f t="shared" si="25"/>
        <v>-502653.51</v>
      </c>
      <c r="L90" s="74">
        <f t="shared" si="25"/>
        <v>-735791.95000000007</v>
      </c>
      <c r="M90" s="74">
        <f t="shared" si="25"/>
        <v>-810658.69</v>
      </c>
      <c r="N90" s="74">
        <f t="shared" si="25"/>
        <v>-1412837.7</v>
      </c>
      <c r="O90" s="75">
        <f t="shared" si="25"/>
        <v>-3461941.8499999996</v>
      </c>
      <c r="P90" s="74">
        <f t="shared" si="25"/>
        <v>-2016373.35</v>
      </c>
      <c r="Q90" s="74">
        <f t="shared" si="25"/>
        <v>-3041013.13</v>
      </c>
      <c r="R90" s="74">
        <f t="shared" si="25"/>
        <v>-4474657.209999999</v>
      </c>
      <c r="S90" s="74">
        <f t="shared" si="25"/>
        <v>-5972825.8300000001</v>
      </c>
      <c r="T90" s="75">
        <f t="shared" si="25"/>
        <v>-15504869.52</v>
      </c>
      <c r="U90" s="74">
        <f t="shared" si="25"/>
        <v>-6805188.9299999997</v>
      </c>
      <c r="V90" s="74">
        <f t="shared" si="25"/>
        <v>-9477287</v>
      </c>
      <c r="W90" s="76">
        <f t="shared" si="25"/>
        <v>-8608960</v>
      </c>
      <c r="X90" s="74">
        <f t="shared" si="25"/>
        <v>-7816109</v>
      </c>
      <c r="Y90" s="75">
        <f t="shared" si="25"/>
        <v>-32707544.93</v>
      </c>
      <c r="Z90" s="74">
        <f t="shared" si="25"/>
        <v>-8089892</v>
      </c>
      <c r="AA90" s="74">
        <f t="shared" si="25"/>
        <v>-7160458</v>
      </c>
      <c r="AB90" s="74">
        <f t="shared" si="25"/>
        <v>-6270926</v>
      </c>
      <c r="AC90" s="74">
        <f t="shared" si="25"/>
        <v>-5962584</v>
      </c>
      <c r="AD90" s="75">
        <f t="shared" si="25"/>
        <v>-27483860</v>
      </c>
      <c r="AE90" s="74">
        <f t="shared" si="25"/>
        <v>-7111814</v>
      </c>
      <c r="AF90" s="74">
        <f t="shared" si="25"/>
        <v>-7180837</v>
      </c>
      <c r="AG90" s="74">
        <f t="shared" si="25"/>
        <v>-7466894</v>
      </c>
      <c r="AH90" s="74">
        <f t="shared" si="25"/>
        <v>-7527568</v>
      </c>
      <c r="AI90" s="75">
        <f t="shared" si="25"/>
        <v>-29287111</v>
      </c>
      <c r="AJ90" s="74">
        <f t="shared" si="25"/>
        <v>-8373681</v>
      </c>
      <c r="AK90" s="74">
        <f t="shared" si="25"/>
        <v>-8583744</v>
      </c>
      <c r="AL90" s="74">
        <f t="shared" si="25"/>
        <v>-8723375</v>
      </c>
      <c r="AM90" s="74">
        <f t="shared" si="25"/>
        <v>-8549420</v>
      </c>
      <c r="AN90" s="75">
        <f t="shared" si="25"/>
        <v>-34230218</v>
      </c>
      <c r="AO90" s="27"/>
      <c r="AP90" s="27"/>
      <c r="AQ90" s="27"/>
      <c r="AR90" s="27"/>
      <c r="AS90" s="27"/>
      <c r="AT90" s="27"/>
      <c r="AU90" s="27"/>
      <c r="AV90" s="27"/>
      <c r="AW90" s="27"/>
      <c r="AX90" s="27"/>
      <c r="AY90" s="27"/>
      <c r="AZ90" s="27"/>
    </row>
    <row r="91" spans="1:52" ht="15.75" customHeight="1" x14ac:dyDescent="0.2">
      <c r="A91" s="27"/>
      <c r="B91" s="69" t="s">
        <v>532</v>
      </c>
      <c r="C91" s="69"/>
      <c r="D91" s="69"/>
      <c r="E91" s="69"/>
      <c r="F91" s="74"/>
      <c r="G91" s="74"/>
      <c r="H91" s="74"/>
      <c r="I91" s="74"/>
      <c r="J91" s="75"/>
      <c r="K91" s="74"/>
      <c r="L91" s="74"/>
      <c r="M91" s="74"/>
      <c r="N91" s="74"/>
      <c r="O91" s="75"/>
      <c r="P91" s="74"/>
      <c r="Q91" s="74"/>
      <c r="R91" s="74"/>
      <c r="S91" s="74"/>
      <c r="T91" s="75"/>
      <c r="U91" s="74"/>
      <c r="V91" s="74"/>
      <c r="W91" s="76"/>
      <c r="X91" s="74"/>
      <c r="Y91" s="75"/>
      <c r="Z91" s="74"/>
      <c r="AA91" s="74"/>
      <c r="AB91" s="74"/>
      <c r="AC91" s="74"/>
      <c r="AD91" s="75"/>
      <c r="AE91" s="74"/>
      <c r="AF91" s="74"/>
      <c r="AG91" s="74"/>
      <c r="AH91" s="74"/>
      <c r="AI91" s="75"/>
      <c r="AJ91" s="74"/>
      <c r="AK91" s="74"/>
      <c r="AL91" s="74"/>
      <c r="AM91" s="74"/>
      <c r="AN91" s="75"/>
      <c r="AO91" s="27"/>
      <c r="AP91" s="27"/>
      <c r="AQ91" s="27"/>
      <c r="AR91" s="27"/>
      <c r="AS91" s="27"/>
      <c r="AT91" s="27"/>
      <c r="AU91" s="27"/>
      <c r="AV91" s="27"/>
      <c r="AW91" s="27"/>
      <c r="AX91" s="27"/>
      <c r="AY91" s="27"/>
      <c r="AZ91" s="27"/>
    </row>
    <row r="92" spans="1:52" ht="15.75" customHeight="1" x14ac:dyDescent="0.2">
      <c r="A92" s="27"/>
      <c r="B92" s="50" t="s">
        <v>533</v>
      </c>
      <c r="C92" s="50"/>
      <c r="D92" s="50"/>
      <c r="E92" s="50"/>
      <c r="F92" s="74">
        <v>0</v>
      </c>
      <c r="G92" s="74">
        <v>65.31</v>
      </c>
      <c r="H92" s="74">
        <v>195.93</v>
      </c>
      <c r="I92" s="74">
        <v>824.05</v>
      </c>
      <c r="J92" s="75">
        <v>1085.29</v>
      </c>
      <c r="K92" s="74">
        <v>1056.1799999999998</v>
      </c>
      <c r="L92" s="74">
        <v>1646.5100000000002</v>
      </c>
      <c r="M92" s="74">
        <v>2286.7800000000002</v>
      </c>
      <c r="N92" s="74">
        <v>3104.5499999999993</v>
      </c>
      <c r="O92" s="75">
        <v>8094.0199999999995</v>
      </c>
      <c r="P92" s="74">
        <v>3875.99</v>
      </c>
      <c r="Q92" s="74">
        <v>5143.6900000000023</v>
      </c>
      <c r="R92" s="74">
        <v>9517.6099999999969</v>
      </c>
      <c r="S92" s="74">
        <v>16874.849999999999</v>
      </c>
      <c r="T92" s="75">
        <v>35412.14</v>
      </c>
      <c r="U92" s="74">
        <v>25002.28</v>
      </c>
      <c r="V92" s="74">
        <v>29438</v>
      </c>
      <c r="W92" s="76">
        <v>35898</v>
      </c>
      <c r="X92" s="74">
        <v>36344.400000000001</v>
      </c>
      <c r="Y92" s="75">
        <f>SUM(U92:X92)</f>
        <v>126682.68</v>
      </c>
      <c r="Z92" s="74">
        <v>37302</v>
      </c>
      <c r="AA92" s="74">
        <v>38827</v>
      </c>
      <c r="AB92" s="74">
        <v>40901</v>
      </c>
      <c r="AC92" s="74">
        <v>43523</v>
      </c>
      <c r="AD92" s="75">
        <f>SUM(Z92:AC92)</f>
        <v>160553</v>
      </c>
      <c r="AE92" s="74">
        <v>46834</v>
      </c>
      <c r="AF92" s="74">
        <v>51122</v>
      </c>
      <c r="AG92" s="74">
        <v>56581</v>
      </c>
      <c r="AH92" s="74">
        <v>63452</v>
      </c>
      <c r="AI92" s="75">
        <f>SUM(AE92:AH92)</f>
        <v>217989</v>
      </c>
      <c r="AJ92" s="74">
        <v>71839</v>
      </c>
      <c r="AK92" s="74">
        <v>81717</v>
      </c>
      <c r="AL92" s="74">
        <v>93305</v>
      </c>
      <c r="AM92" s="74">
        <v>106869</v>
      </c>
      <c r="AN92" s="75">
        <v>353731</v>
      </c>
      <c r="AO92" s="27"/>
      <c r="AP92" s="27"/>
      <c r="AQ92" s="27"/>
      <c r="AR92" s="27"/>
      <c r="AS92" s="27"/>
      <c r="AT92" s="27"/>
      <c r="AU92" s="27"/>
      <c r="AV92" s="27"/>
      <c r="AW92" s="27"/>
      <c r="AX92" s="27"/>
      <c r="AY92" s="27"/>
      <c r="AZ92" s="27"/>
    </row>
    <row r="93" spans="1:52" ht="15.75" customHeight="1" x14ac:dyDescent="0.2">
      <c r="A93" s="27"/>
      <c r="B93" s="69" t="s">
        <v>534</v>
      </c>
      <c r="C93" s="69"/>
      <c r="D93" s="69"/>
      <c r="E93" s="69"/>
      <c r="F93" s="74"/>
      <c r="G93" s="74"/>
      <c r="H93" s="74"/>
      <c r="I93" s="74"/>
      <c r="J93" s="75"/>
      <c r="K93" s="74"/>
      <c r="L93" s="74"/>
      <c r="M93" s="74"/>
      <c r="N93" s="74"/>
      <c r="O93" s="75"/>
      <c r="P93" s="74"/>
      <c r="Q93" s="74"/>
      <c r="R93" s="74"/>
      <c r="S93" s="74"/>
      <c r="T93" s="75"/>
      <c r="U93" s="74"/>
      <c r="V93" s="74"/>
      <c r="W93" s="76"/>
      <c r="X93" s="74"/>
      <c r="Y93" s="75"/>
      <c r="Z93" s="74"/>
      <c r="AA93" s="74"/>
      <c r="AB93" s="74"/>
      <c r="AC93" s="74"/>
      <c r="AD93" s="75"/>
      <c r="AE93" s="74"/>
      <c r="AF93" s="74"/>
      <c r="AG93" s="74"/>
      <c r="AH93" s="74"/>
      <c r="AI93" s="75"/>
      <c r="AJ93" s="74"/>
      <c r="AK93" s="74"/>
      <c r="AL93" s="74"/>
      <c r="AM93" s="74"/>
      <c r="AN93" s="75"/>
      <c r="AO93" s="27"/>
      <c r="AP93" s="27"/>
      <c r="AQ93" s="27"/>
      <c r="AR93" s="27"/>
      <c r="AS93" s="27"/>
      <c r="AT93" s="27"/>
      <c r="AU93" s="27"/>
      <c r="AV93" s="27"/>
      <c r="AW93" s="27"/>
      <c r="AX93" s="27"/>
      <c r="AY93" s="27"/>
      <c r="AZ93" s="27"/>
    </row>
    <row r="94" spans="1:52" ht="15.75" customHeight="1" x14ac:dyDescent="0.2">
      <c r="A94" s="27"/>
      <c r="B94" s="50" t="s">
        <v>535</v>
      </c>
      <c r="C94" s="50"/>
      <c r="D94" s="50"/>
      <c r="E94" s="50"/>
      <c r="F94" s="74">
        <v>14097.30000000001</v>
      </c>
      <c r="G94" s="74">
        <v>1092.0799999999995</v>
      </c>
      <c r="H94" s="74">
        <v>14703.59</v>
      </c>
      <c r="I94" s="74">
        <v>-42833.479999999996</v>
      </c>
      <c r="J94" s="75">
        <v>-12940.509999999987</v>
      </c>
      <c r="K94" s="74">
        <v>-170843.66999999998</v>
      </c>
      <c r="L94" s="74">
        <v>90707.12</v>
      </c>
      <c r="M94" s="74">
        <v>10418.760000000009</v>
      </c>
      <c r="N94" s="74">
        <v>-481274.79</v>
      </c>
      <c r="O94" s="75">
        <v>-550992.57999999996</v>
      </c>
      <c r="P94" s="74">
        <v>-76856.199999999953</v>
      </c>
      <c r="Q94" s="74">
        <v>-144336.05000000005</v>
      </c>
      <c r="R94" s="74">
        <v>-70012.569999999949</v>
      </c>
      <c r="S94" s="74">
        <v>-206006.05999999982</v>
      </c>
      <c r="T94" s="75">
        <v>-497210.87999999977</v>
      </c>
      <c r="U94" s="74">
        <v>-353293.4600000002</v>
      </c>
      <c r="V94" s="74">
        <v>715230</v>
      </c>
      <c r="W94" s="76">
        <v>-278364</v>
      </c>
      <c r="X94" s="74">
        <v>-368228.5</v>
      </c>
      <c r="Y94" s="75">
        <f>SUM(U94:X94)</f>
        <v>-284655.9600000002</v>
      </c>
      <c r="Z94" s="74">
        <v>-284984</v>
      </c>
      <c r="AA94" s="74">
        <v>-480913</v>
      </c>
      <c r="AB94" s="74">
        <v>-471852</v>
      </c>
      <c r="AC94" s="74">
        <v>-483764</v>
      </c>
      <c r="AD94" s="75">
        <f>SUM(Z94:AC94)</f>
        <v>-1721513</v>
      </c>
      <c r="AE94" s="74">
        <v>-677429</v>
      </c>
      <c r="AF94" s="74">
        <v>-941307</v>
      </c>
      <c r="AG94" s="74">
        <v>-1028878</v>
      </c>
      <c r="AH94" s="74">
        <v>-1211768</v>
      </c>
      <c r="AI94" s="75">
        <f>SUM(AE94:AH94)</f>
        <v>-3859382</v>
      </c>
      <c r="AJ94" s="74">
        <v>-1146266</v>
      </c>
      <c r="AK94" s="74">
        <v>-1408231</v>
      </c>
      <c r="AL94" s="74">
        <v>-1681577</v>
      </c>
      <c r="AM94" s="74">
        <v>-1651708</v>
      </c>
      <c r="AN94" s="75">
        <v>-5887783</v>
      </c>
      <c r="AO94" s="27"/>
      <c r="AP94" s="27"/>
      <c r="AQ94" s="27"/>
      <c r="AR94" s="27"/>
      <c r="AS94" s="27"/>
      <c r="AT94" s="27"/>
      <c r="AU94" s="27"/>
      <c r="AV94" s="27"/>
      <c r="AW94" s="27"/>
      <c r="AX94" s="27"/>
      <c r="AY94" s="27"/>
      <c r="AZ94" s="27"/>
    </row>
    <row r="95" spans="1:52" ht="15.75" customHeight="1" x14ac:dyDescent="0.2">
      <c r="A95" s="27"/>
      <c r="B95" s="50" t="s">
        <v>536</v>
      </c>
      <c r="C95" s="50"/>
      <c r="D95" s="50"/>
      <c r="E95" s="50"/>
      <c r="F95" s="74">
        <v>59588.28</v>
      </c>
      <c r="G95" s="74">
        <v>-27268.93</v>
      </c>
      <c r="H95" s="74">
        <v>62579.56</v>
      </c>
      <c r="I95" s="74">
        <v>-43623.309999999983</v>
      </c>
      <c r="J95" s="75">
        <v>51275.60000000002</v>
      </c>
      <c r="K95" s="74">
        <v>279013.46999999997</v>
      </c>
      <c r="L95" s="74">
        <v>26171.33</v>
      </c>
      <c r="M95" s="74">
        <v>439143</v>
      </c>
      <c r="N95" s="74">
        <v>255620.51000000004</v>
      </c>
      <c r="O95" s="75">
        <v>999948.31</v>
      </c>
      <c r="P95" s="74">
        <v>443495.46999999986</v>
      </c>
      <c r="Q95" s="74">
        <v>346421.05000000016</v>
      </c>
      <c r="R95" s="74">
        <v>184282.80999999982</v>
      </c>
      <c r="S95" s="74">
        <v>863611.10000000009</v>
      </c>
      <c r="T95" s="75">
        <v>1837810.43</v>
      </c>
      <c r="U95" s="74">
        <v>689970.60000000044</v>
      </c>
      <c r="V95" s="74">
        <v>1050742</v>
      </c>
      <c r="W95" s="76">
        <v>1885676</v>
      </c>
      <c r="X95" s="74">
        <v>2145979.4</v>
      </c>
      <c r="Y95" s="75">
        <f>SUM(U95:X95)</f>
        <v>5772368</v>
      </c>
      <c r="Z95" s="74">
        <v>2444509</v>
      </c>
      <c r="AA95" s="74">
        <v>2374389</v>
      </c>
      <c r="AB95" s="74">
        <v>2397473</v>
      </c>
      <c r="AC95" s="74">
        <v>2307286</v>
      </c>
      <c r="AD95" s="75">
        <f>SUM(Z95:AC95)</f>
        <v>9523657</v>
      </c>
      <c r="AE95" s="74">
        <v>3935807</v>
      </c>
      <c r="AF95" s="74">
        <v>4808403</v>
      </c>
      <c r="AG95" s="74">
        <v>5851724</v>
      </c>
      <c r="AH95" s="74">
        <v>7136508</v>
      </c>
      <c r="AI95" s="75">
        <f>SUM(AE95:AH95)</f>
        <v>21732442</v>
      </c>
      <c r="AJ95" s="74">
        <v>6276320</v>
      </c>
      <c r="AK95" s="74">
        <v>7314896</v>
      </c>
      <c r="AL95" s="74">
        <v>8494807</v>
      </c>
      <c r="AM95" s="74">
        <v>9857981</v>
      </c>
      <c r="AN95" s="75">
        <v>31944003</v>
      </c>
      <c r="AO95" s="27"/>
      <c r="AP95" s="27"/>
      <c r="AQ95" s="27"/>
      <c r="AR95" s="27"/>
      <c r="AS95" s="27"/>
      <c r="AT95" s="27"/>
      <c r="AU95" s="27"/>
      <c r="AV95" s="27"/>
      <c r="AW95" s="27"/>
      <c r="AX95" s="27"/>
      <c r="AY95" s="27"/>
      <c r="AZ95" s="27"/>
    </row>
    <row r="96" spans="1:52" ht="15.75" customHeight="1" x14ac:dyDescent="0.2">
      <c r="A96" s="27"/>
      <c r="B96" s="61" t="s">
        <v>537</v>
      </c>
      <c r="C96" s="61"/>
      <c r="D96" s="61"/>
      <c r="E96" s="61"/>
      <c r="F96" s="82">
        <f t="shared" ref="F96:AN96" si="26">+SUM(F90:F95)</f>
        <v>97779.670000000013</v>
      </c>
      <c r="G96" s="82">
        <f t="shared" si="26"/>
        <v>-18519.849999999999</v>
      </c>
      <c r="H96" s="82">
        <f t="shared" si="26"/>
        <v>-16568.89</v>
      </c>
      <c r="I96" s="82">
        <f t="shared" si="26"/>
        <v>-422946.88999999996</v>
      </c>
      <c r="J96" s="83">
        <f t="shared" si="26"/>
        <v>-360255.95999999996</v>
      </c>
      <c r="K96" s="82">
        <f t="shared" si="26"/>
        <v>-393427.53</v>
      </c>
      <c r="L96" s="82">
        <f t="shared" si="26"/>
        <v>-617266.99000000011</v>
      </c>
      <c r="M96" s="82">
        <f t="shared" si="26"/>
        <v>-358810.14999999991</v>
      </c>
      <c r="N96" s="82">
        <f t="shared" si="26"/>
        <v>-1635387.43</v>
      </c>
      <c r="O96" s="83">
        <f t="shared" si="26"/>
        <v>-3004892.0999999996</v>
      </c>
      <c r="P96" s="82">
        <f t="shared" si="26"/>
        <v>-1645858.0900000003</v>
      </c>
      <c r="Q96" s="82">
        <f t="shared" si="26"/>
        <v>-2833784.44</v>
      </c>
      <c r="R96" s="82">
        <f t="shared" si="26"/>
        <v>-4350869.3599999994</v>
      </c>
      <c r="S96" s="82">
        <f t="shared" si="26"/>
        <v>-5298345.9399999995</v>
      </c>
      <c r="T96" s="83">
        <f t="shared" si="26"/>
        <v>-14128857.829999998</v>
      </c>
      <c r="U96" s="82">
        <f t="shared" si="26"/>
        <v>-6443509.5099999988</v>
      </c>
      <c r="V96" s="82">
        <f t="shared" si="26"/>
        <v>-7681877</v>
      </c>
      <c r="W96" s="84">
        <f t="shared" si="26"/>
        <v>-6965750</v>
      </c>
      <c r="X96" s="82">
        <f t="shared" si="26"/>
        <v>-6002013.6999999993</v>
      </c>
      <c r="Y96" s="83">
        <f t="shared" si="26"/>
        <v>-27093150.210000001</v>
      </c>
      <c r="Z96" s="82">
        <f t="shared" si="26"/>
        <v>-5893065</v>
      </c>
      <c r="AA96" s="82">
        <f t="shared" si="26"/>
        <v>-5228155</v>
      </c>
      <c r="AB96" s="82">
        <f t="shared" si="26"/>
        <v>-4304404</v>
      </c>
      <c r="AC96" s="82">
        <f t="shared" si="26"/>
        <v>-4095539</v>
      </c>
      <c r="AD96" s="83">
        <f t="shared" si="26"/>
        <v>-19521163</v>
      </c>
      <c r="AE96" s="82">
        <f t="shared" si="26"/>
        <v>-3806602</v>
      </c>
      <c r="AF96" s="82">
        <f t="shared" si="26"/>
        <v>-3262619</v>
      </c>
      <c r="AG96" s="82">
        <f t="shared" si="26"/>
        <v>-2587467</v>
      </c>
      <c r="AH96" s="82">
        <f t="shared" si="26"/>
        <v>-1539376</v>
      </c>
      <c r="AI96" s="83">
        <f t="shared" si="26"/>
        <v>-11196062</v>
      </c>
      <c r="AJ96" s="82">
        <f t="shared" si="26"/>
        <v>-3171788</v>
      </c>
      <c r="AK96" s="82">
        <f t="shared" si="26"/>
        <v>-2595362</v>
      </c>
      <c r="AL96" s="82">
        <f t="shared" si="26"/>
        <v>-1816840</v>
      </c>
      <c r="AM96" s="82">
        <f t="shared" si="26"/>
        <v>-236278</v>
      </c>
      <c r="AN96" s="83">
        <f t="shared" si="26"/>
        <v>-7820267</v>
      </c>
      <c r="AO96" s="27"/>
      <c r="AP96" s="27"/>
      <c r="AQ96" s="27"/>
      <c r="AR96" s="27"/>
      <c r="AS96" s="27"/>
      <c r="AT96" s="27"/>
      <c r="AU96" s="27"/>
      <c r="AV96" s="27"/>
      <c r="AW96" s="27"/>
      <c r="AX96" s="27"/>
      <c r="AY96" s="27"/>
      <c r="AZ96" s="27"/>
    </row>
    <row r="97" spans="1:52" ht="15.75" customHeight="1" x14ac:dyDescent="0.2">
      <c r="A97" s="27"/>
      <c r="B97" s="78" t="s">
        <v>538</v>
      </c>
      <c r="C97" s="78"/>
      <c r="D97" s="78"/>
      <c r="E97" s="78"/>
      <c r="F97" s="79"/>
      <c r="G97" s="79"/>
      <c r="H97" s="79"/>
      <c r="I97" s="79"/>
      <c r="J97" s="80"/>
      <c r="K97" s="79"/>
      <c r="L97" s="79"/>
      <c r="M97" s="79"/>
      <c r="N97" s="79"/>
      <c r="O97" s="80"/>
      <c r="P97" s="79"/>
      <c r="Q97" s="79"/>
      <c r="R97" s="79"/>
      <c r="S97" s="79"/>
      <c r="T97" s="80"/>
      <c r="U97" s="79"/>
      <c r="V97" s="79"/>
      <c r="W97" s="81"/>
      <c r="X97" s="79"/>
      <c r="Y97" s="80"/>
      <c r="Z97" s="79"/>
      <c r="AA97" s="79"/>
      <c r="AB97" s="79"/>
      <c r="AC97" s="79"/>
      <c r="AD97" s="80"/>
      <c r="AE97" s="79"/>
      <c r="AF97" s="79"/>
      <c r="AG97" s="79"/>
      <c r="AH97" s="79"/>
      <c r="AI97" s="80"/>
      <c r="AJ97" s="79"/>
      <c r="AK97" s="79"/>
      <c r="AL97" s="79"/>
      <c r="AM97" s="79"/>
      <c r="AN97" s="80"/>
      <c r="AO97" s="27"/>
      <c r="AP97" s="27"/>
      <c r="AQ97" s="27"/>
      <c r="AR97" s="27"/>
      <c r="AS97" s="27"/>
      <c r="AT97" s="27"/>
      <c r="AU97" s="27"/>
      <c r="AV97" s="27"/>
      <c r="AW97" s="27"/>
      <c r="AX97" s="27"/>
      <c r="AY97" s="27"/>
      <c r="AZ97" s="27"/>
    </row>
    <row r="98" spans="1:52" ht="15.75" customHeight="1" x14ac:dyDescent="0.2">
      <c r="A98" s="27"/>
      <c r="B98" s="50" t="s">
        <v>539</v>
      </c>
      <c r="C98" s="50"/>
      <c r="D98" s="50"/>
      <c r="E98" s="50"/>
      <c r="F98" s="74">
        <v>0</v>
      </c>
      <c r="G98" s="74">
        <v>-3918.41</v>
      </c>
      <c r="H98" s="74">
        <v>0</v>
      </c>
      <c r="I98" s="74">
        <v>-15222.689999999999</v>
      </c>
      <c r="J98" s="75">
        <v>-19141.099999999999</v>
      </c>
      <c r="K98" s="74">
        <v>-2973.5300000000025</v>
      </c>
      <c r="L98" s="74">
        <v>-16330.59</v>
      </c>
      <c r="M98" s="74">
        <v>-11148.089999999997</v>
      </c>
      <c r="N98" s="74">
        <v>-21238.180000000008</v>
      </c>
      <c r="O98" s="75">
        <v>-51690.390000000007</v>
      </c>
      <c r="P98" s="74">
        <v>-9911.3799999999901</v>
      </c>
      <c r="Q98" s="74">
        <v>-41266.090000000011</v>
      </c>
      <c r="R98" s="74">
        <v>-178560.46999999997</v>
      </c>
      <c r="S98" s="74">
        <v>-95446.38</v>
      </c>
      <c r="T98" s="75">
        <v>-325184.31999999995</v>
      </c>
      <c r="U98" s="74">
        <v>-136511.58000000002</v>
      </c>
      <c r="V98" s="74">
        <v>-69180</v>
      </c>
      <c r="W98" s="76">
        <v>-27826</v>
      </c>
      <c r="X98" s="74">
        <v>-35939.599999999999</v>
      </c>
      <c r="Y98" s="75">
        <f>SUM(U98:X98)</f>
        <v>-269457.18</v>
      </c>
      <c r="Z98" s="74">
        <v>-45618</v>
      </c>
      <c r="AA98" s="74">
        <v>-55859</v>
      </c>
      <c r="AB98" s="74">
        <v>-65639</v>
      </c>
      <c r="AC98" s="74">
        <v>-75686</v>
      </c>
      <c r="AD98" s="75">
        <f>SUM(Z98:AC98)</f>
        <v>-242802</v>
      </c>
      <c r="AE98" s="74">
        <v>-90709</v>
      </c>
      <c r="AF98" s="74">
        <v>-110616</v>
      </c>
      <c r="AG98" s="74">
        <v>-134619</v>
      </c>
      <c r="AH98" s="74">
        <v>-163801</v>
      </c>
      <c r="AI98" s="75">
        <f>SUM(AE98:AH98)</f>
        <v>-499745</v>
      </c>
      <c r="AJ98" s="74">
        <v>-192405</v>
      </c>
      <c r="AK98" s="74">
        <v>-222676</v>
      </c>
      <c r="AL98" s="74">
        <v>-257829</v>
      </c>
      <c r="AM98" s="74">
        <v>-298589</v>
      </c>
      <c r="AN98" s="75">
        <v>-971500</v>
      </c>
      <c r="AO98" s="27"/>
      <c r="AP98" s="27"/>
      <c r="AQ98" s="27"/>
      <c r="AR98" s="27"/>
      <c r="AS98" s="27"/>
      <c r="AT98" s="27"/>
      <c r="AU98" s="27"/>
      <c r="AV98" s="27"/>
      <c r="AW98" s="27"/>
      <c r="AX98" s="27"/>
      <c r="AY98" s="27"/>
      <c r="AZ98" s="27"/>
    </row>
    <row r="99" spans="1:52" ht="15.75" customHeight="1" x14ac:dyDescent="0.2">
      <c r="A99" s="27"/>
      <c r="B99" s="61" t="s">
        <v>540</v>
      </c>
      <c r="C99" s="61"/>
      <c r="D99" s="61"/>
      <c r="E99" s="61"/>
      <c r="F99" s="82">
        <f t="shared" ref="F99:AN99" si="27">+F98</f>
        <v>0</v>
      </c>
      <c r="G99" s="82">
        <f t="shared" si="27"/>
        <v>-3918.41</v>
      </c>
      <c r="H99" s="82">
        <f t="shared" si="27"/>
        <v>0</v>
      </c>
      <c r="I99" s="82">
        <f t="shared" si="27"/>
        <v>-15222.689999999999</v>
      </c>
      <c r="J99" s="83">
        <f t="shared" si="27"/>
        <v>-19141.099999999999</v>
      </c>
      <c r="K99" s="82">
        <f t="shared" si="27"/>
        <v>-2973.5300000000025</v>
      </c>
      <c r="L99" s="82">
        <f t="shared" si="27"/>
        <v>-16330.59</v>
      </c>
      <c r="M99" s="82">
        <f t="shared" si="27"/>
        <v>-11148.089999999997</v>
      </c>
      <c r="N99" s="82">
        <f t="shared" si="27"/>
        <v>-21238.180000000008</v>
      </c>
      <c r="O99" s="83">
        <f t="shared" si="27"/>
        <v>-51690.390000000007</v>
      </c>
      <c r="P99" s="82">
        <f t="shared" si="27"/>
        <v>-9911.3799999999901</v>
      </c>
      <c r="Q99" s="82">
        <f t="shared" si="27"/>
        <v>-41266.090000000011</v>
      </c>
      <c r="R99" s="82">
        <f t="shared" si="27"/>
        <v>-178560.46999999997</v>
      </c>
      <c r="S99" s="82">
        <f t="shared" si="27"/>
        <v>-95446.38</v>
      </c>
      <c r="T99" s="83">
        <f t="shared" si="27"/>
        <v>-325184.31999999995</v>
      </c>
      <c r="U99" s="82">
        <f t="shared" si="27"/>
        <v>-136511.58000000002</v>
      </c>
      <c r="V99" s="82">
        <f t="shared" si="27"/>
        <v>-69180</v>
      </c>
      <c r="W99" s="84">
        <f t="shared" si="27"/>
        <v>-27826</v>
      </c>
      <c r="X99" s="82">
        <f t="shared" si="27"/>
        <v>-35939.599999999999</v>
      </c>
      <c r="Y99" s="83">
        <f t="shared" si="27"/>
        <v>-269457.18</v>
      </c>
      <c r="Z99" s="82">
        <f t="shared" si="27"/>
        <v>-45618</v>
      </c>
      <c r="AA99" s="82">
        <f t="shared" si="27"/>
        <v>-55859</v>
      </c>
      <c r="AB99" s="82">
        <f t="shared" si="27"/>
        <v>-65639</v>
      </c>
      <c r="AC99" s="82">
        <f t="shared" si="27"/>
        <v>-75686</v>
      </c>
      <c r="AD99" s="83">
        <f t="shared" si="27"/>
        <v>-242802</v>
      </c>
      <c r="AE99" s="82">
        <f t="shared" si="27"/>
        <v>-90709</v>
      </c>
      <c r="AF99" s="82">
        <f t="shared" si="27"/>
        <v>-110616</v>
      </c>
      <c r="AG99" s="82">
        <f t="shared" si="27"/>
        <v>-134619</v>
      </c>
      <c r="AH99" s="82">
        <f t="shared" si="27"/>
        <v>-163801</v>
      </c>
      <c r="AI99" s="83">
        <f t="shared" si="27"/>
        <v>-499745</v>
      </c>
      <c r="AJ99" s="82">
        <f t="shared" si="27"/>
        <v>-192405</v>
      </c>
      <c r="AK99" s="82">
        <f t="shared" si="27"/>
        <v>-222676</v>
      </c>
      <c r="AL99" s="82">
        <f t="shared" si="27"/>
        <v>-257829</v>
      </c>
      <c r="AM99" s="82">
        <f t="shared" si="27"/>
        <v>-298589</v>
      </c>
      <c r="AN99" s="83">
        <f t="shared" si="27"/>
        <v>-971500</v>
      </c>
      <c r="AO99" s="27"/>
      <c r="AP99" s="27"/>
      <c r="AQ99" s="27"/>
      <c r="AR99" s="27"/>
      <c r="AS99" s="27"/>
      <c r="AT99" s="27"/>
      <c r="AU99" s="27"/>
      <c r="AV99" s="27"/>
      <c r="AW99" s="27"/>
      <c r="AX99" s="27"/>
      <c r="AY99" s="27"/>
      <c r="AZ99" s="27"/>
    </row>
    <row r="100" spans="1:52" ht="15.75" customHeight="1" x14ac:dyDescent="0.2">
      <c r="A100" s="27"/>
      <c r="B100" s="78" t="s">
        <v>541</v>
      </c>
      <c r="C100" s="78"/>
      <c r="D100" s="78"/>
      <c r="E100" s="78"/>
      <c r="F100" s="79"/>
      <c r="G100" s="79"/>
      <c r="H100" s="79"/>
      <c r="I100" s="79"/>
      <c r="J100" s="80"/>
      <c r="K100" s="79"/>
      <c r="L100" s="79"/>
      <c r="M100" s="79"/>
      <c r="N100" s="79"/>
      <c r="O100" s="80"/>
      <c r="P100" s="79"/>
      <c r="Q100" s="79"/>
      <c r="R100" s="79"/>
      <c r="S100" s="79"/>
      <c r="T100" s="80"/>
      <c r="U100" s="79"/>
      <c r="V100" s="79"/>
      <c r="W100" s="81"/>
      <c r="X100" s="79"/>
      <c r="Y100" s="80"/>
      <c r="Z100" s="79"/>
      <c r="AA100" s="79"/>
      <c r="AB100" s="79"/>
      <c r="AC100" s="79"/>
      <c r="AD100" s="80"/>
      <c r="AE100" s="79"/>
      <c r="AF100" s="79"/>
      <c r="AG100" s="79"/>
      <c r="AH100" s="79"/>
      <c r="AI100" s="80"/>
      <c r="AJ100" s="79"/>
      <c r="AK100" s="79"/>
      <c r="AL100" s="79"/>
      <c r="AM100" s="79"/>
      <c r="AN100" s="80"/>
      <c r="AO100" s="27"/>
      <c r="AP100" s="27"/>
      <c r="AQ100" s="27"/>
      <c r="AR100" s="27"/>
      <c r="AS100" s="27"/>
      <c r="AT100" s="27"/>
      <c r="AU100" s="27"/>
      <c r="AV100" s="27"/>
      <c r="AW100" s="27"/>
      <c r="AX100" s="27"/>
      <c r="AY100" s="27"/>
      <c r="AZ100" s="27"/>
    </row>
    <row r="101" spans="1:52" ht="15.75" customHeight="1" x14ac:dyDescent="0.2">
      <c r="A101" s="27"/>
      <c r="B101" s="69" t="s">
        <v>542</v>
      </c>
      <c r="C101" s="69"/>
      <c r="D101" s="69"/>
      <c r="E101" s="69"/>
      <c r="F101" s="74">
        <v>0</v>
      </c>
      <c r="G101" s="74">
        <v>0</v>
      </c>
      <c r="H101" s="74">
        <v>4891091.3199999994</v>
      </c>
      <c r="I101" s="74">
        <v>0</v>
      </c>
      <c r="J101" s="75">
        <v>4891091.3199999994</v>
      </c>
      <c r="K101" s="74">
        <v>0</v>
      </c>
      <c r="L101" s="74">
        <v>13751243.23</v>
      </c>
      <c r="M101" s="74">
        <v>152935.48999999836</v>
      </c>
      <c r="N101" s="74">
        <v>60152.059999998659</v>
      </c>
      <c r="O101" s="75">
        <v>13964330.779999997</v>
      </c>
      <c r="P101" s="74">
        <v>240890.40000000224</v>
      </c>
      <c r="Q101" s="74">
        <v>34950950.449999996</v>
      </c>
      <c r="R101" s="74">
        <v>14287.989999994636</v>
      </c>
      <c r="S101" s="74">
        <v>27026.820000007749</v>
      </c>
      <c r="T101" s="75">
        <v>35233155.659999996</v>
      </c>
      <c r="U101" s="74">
        <v>146990.54999999702</v>
      </c>
      <c r="V101" s="74">
        <v>17750</v>
      </c>
      <c r="W101" s="76">
        <v>30000000</v>
      </c>
      <c r="X101" s="74">
        <v>0</v>
      </c>
      <c r="Y101" s="75">
        <f>SUM(U101:X101)</f>
        <v>30164740.549999997</v>
      </c>
      <c r="Z101" s="74">
        <v>0</v>
      </c>
      <c r="AA101" s="74">
        <v>0</v>
      </c>
      <c r="AB101" s="74">
        <v>0</v>
      </c>
      <c r="AC101" s="74">
        <v>0</v>
      </c>
      <c r="AD101" s="75">
        <f>SUM(Z101:AC101)</f>
        <v>0</v>
      </c>
      <c r="AE101" s="74">
        <v>0</v>
      </c>
      <c r="AF101" s="74">
        <v>0</v>
      </c>
      <c r="AG101" s="74">
        <v>0</v>
      </c>
      <c r="AH101" s="74">
        <v>0</v>
      </c>
      <c r="AI101" s="75">
        <f>SUM(AE101:AH101)</f>
        <v>0</v>
      </c>
      <c r="AJ101" s="74">
        <v>0</v>
      </c>
      <c r="AK101" s="74">
        <v>0</v>
      </c>
      <c r="AL101" s="74">
        <v>0</v>
      </c>
      <c r="AM101" s="74">
        <v>0</v>
      </c>
      <c r="AN101" s="75">
        <v>0</v>
      </c>
      <c r="AO101" s="27"/>
      <c r="AP101" s="27"/>
      <c r="AQ101" s="27"/>
      <c r="AR101" s="27"/>
      <c r="AS101" s="27"/>
      <c r="AT101" s="27"/>
      <c r="AU101" s="27"/>
      <c r="AV101" s="27"/>
      <c r="AW101" s="27"/>
      <c r="AX101" s="27"/>
      <c r="AY101" s="27"/>
      <c r="AZ101" s="27"/>
    </row>
    <row r="102" spans="1:52" ht="15.75" customHeight="1" x14ac:dyDescent="0.2">
      <c r="A102" s="27"/>
      <c r="B102" s="61" t="s">
        <v>543</v>
      </c>
      <c r="C102" s="61"/>
      <c r="D102" s="61"/>
      <c r="E102" s="61"/>
      <c r="F102" s="82">
        <f t="shared" ref="F102:AN102" si="28">+SUM(F101)</f>
        <v>0</v>
      </c>
      <c r="G102" s="82">
        <f t="shared" si="28"/>
        <v>0</v>
      </c>
      <c r="H102" s="82">
        <f t="shared" si="28"/>
        <v>4891091.3199999994</v>
      </c>
      <c r="I102" s="82">
        <f t="shared" si="28"/>
        <v>0</v>
      </c>
      <c r="J102" s="83">
        <f t="shared" si="28"/>
        <v>4891091.3199999994</v>
      </c>
      <c r="K102" s="82">
        <f t="shared" si="28"/>
        <v>0</v>
      </c>
      <c r="L102" s="82">
        <f t="shared" si="28"/>
        <v>13751243.23</v>
      </c>
      <c r="M102" s="82">
        <f t="shared" si="28"/>
        <v>152935.48999999836</v>
      </c>
      <c r="N102" s="82">
        <f t="shared" si="28"/>
        <v>60152.059999998659</v>
      </c>
      <c r="O102" s="83">
        <f t="shared" si="28"/>
        <v>13964330.779999997</v>
      </c>
      <c r="P102" s="82">
        <f t="shared" si="28"/>
        <v>240890.40000000224</v>
      </c>
      <c r="Q102" s="82">
        <f t="shared" si="28"/>
        <v>34950950.449999996</v>
      </c>
      <c r="R102" s="82">
        <f t="shared" si="28"/>
        <v>14287.989999994636</v>
      </c>
      <c r="S102" s="82">
        <f t="shared" si="28"/>
        <v>27026.820000007749</v>
      </c>
      <c r="T102" s="83">
        <f t="shared" si="28"/>
        <v>35233155.659999996</v>
      </c>
      <c r="U102" s="82">
        <f t="shared" si="28"/>
        <v>146990.54999999702</v>
      </c>
      <c r="V102" s="82">
        <f t="shared" si="28"/>
        <v>17750</v>
      </c>
      <c r="W102" s="84">
        <f t="shared" si="28"/>
        <v>30000000</v>
      </c>
      <c r="X102" s="82">
        <f t="shared" si="28"/>
        <v>0</v>
      </c>
      <c r="Y102" s="83">
        <f t="shared" si="28"/>
        <v>30164740.549999997</v>
      </c>
      <c r="Z102" s="82">
        <f t="shared" si="28"/>
        <v>0</v>
      </c>
      <c r="AA102" s="82">
        <f t="shared" si="28"/>
        <v>0</v>
      </c>
      <c r="AB102" s="82">
        <f t="shared" si="28"/>
        <v>0</v>
      </c>
      <c r="AC102" s="82">
        <f t="shared" si="28"/>
        <v>0</v>
      </c>
      <c r="AD102" s="83">
        <f t="shared" si="28"/>
        <v>0</v>
      </c>
      <c r="AE102" s="82">
        <f t="shared" si="28"/>
        <v>0</v>
      </c>
      <c r="AF102" s="82">
        <f t="shared" si="28"/>
        <v>0</v>
      </c>
      <c r="AG102" s="82">
        <f t="shared" si="28"/>
        <v>0</v>
      </c>
      <c r="AH102" s="82">
        <f t="shared" si="28"/>
        <v>0</v>
      </c>
      <c r="AI102" s="83">
        <f t="shared" si="28"/>
        <v>0</v>
      </c>
      <c r="AJ102" s="82">
        <f t="shared" si="28"/>
        <v>0</v>
      </c>
      <c r="AK102" s="82">
        <f t="shared" si="28"/>
        <v>0</v>
      </c>
      <c r="AL102" s="82">
        <f t="shared" si="28"/>
        <v>0</v>
      </c>
      <c r="AM102" s="82">
        <f t="shared" si="28"/>
        <v>0</v>
      </c>
      <c r="AN102" s="83">
        <f t="shared" si="28"/>
        <v>0</v>
      </c>
      <c r="AO102" s="27"/>
      <c r="AP102" s="27"/>
      <c r="AQ102" s="27"/>
      <c r="AR102" s="27"/>
      <c r="AS102" s="27"/>
      <c r="AT102" s="27"/>
      <c r="AU102" s="27"/>
      <c r="AV102" s="27"/>
      <c r="AW102" s="27"/>
      <c r="AX102" s="27"/>
      <c r="AY102" s="27"/>
      <c r="AZ102" s="27"/>
    </row>
    <row r="103" spans="1:52" ht="15.75" customHeight="1" x14ac:dyDescent="0.2">
      <c r="A103" s="27"/>
      <c r="B103" s="100" t="s">
        <v>544</v>
      </c>
      <c r="C103" s="100"/>
      <c r="D103" s="100"/>
      <c r="E103" s="100"/>
      <c r="F103" s="101">
        <v>19980.169999999998</v>
      </c>
      <c r="G103" s="102">
        <f>+F105</f>
        <v>117759.84000000001</v>
      </c>
      <c r="H103" s="102">
        <f>+G105</f>
        <v>95321.580000000016</v>
      </c>
      <c r="I103" s="102">
        <f>+H105</f>
        <v>4969844.01</v>
      </c>
      <c r="J103" s="103">
        <f>+F103</f>
        <v>19980.169999999998</v>
      </c>
      <c r="K103" s="102">
        <f>+J105</f>
        <v>4531674.43</v>
      </c>
      <c r="L103" s="102">
        <f>+K105</f>
        <v>4135273.3699999996</v>
      </c>
      <c r="M103" s="102">
        <f>+L105</f>
        <v>17252919.02</v>
      </c>
      <c r="N103" s="102">
        <f>+M105</f>
        <v>17035896.27</v>
      </c>
      <c r="O103" s="103">
        <f>+K103</f>
        <v>4531674.43</v>
      </c>
      <c r="P103" s="102">
        <f>+O105</f>
        <v>15439422.719999997</v>
      </c>
      <c r="Q103" s="102">
        <f>+P105</f>
        <v>14024543.649999999</v>
      </c>
      <c r="R103" s="102">
        <f>+Q105</f>
        <v>46100443.569999993</v>
      </c>
      <c r="S103" s="102">
        <f>+R105</f>
        <v>41585301.729999989</v>
      </c>
      <c r="T103" s="103">
        <f>+P103</f>
        <v>15439422.719999997</v>
      </c>
      <c r="U103" s="102">
        <f>+T105</f>
        <v>36218536.229999997</v>
      </c>
      <c r="V103" s="102">
        <f>+U105</f>
        <v>29785505.689999994</v>
      </c>
      <c r="W103" s="104">
        <f>+V105</f>
        <v>22052198.689999994</v>
      </c>
      <c r="X103" s="102">
        <f>+W105</f>
        <v>45058622.689999998</v>
      </c>
      <c r="Y103" s="103">
        <f>+U103</f>
        <v>36218536.229999997</v>
      </c>
      <c r="Z103" s="102">
        <f>+Y105</f>
        <v>39020669.389999993</v>
      </c>
      <c r="AA103" s="102">
        <f>+Z105</f>
        <v>33081986.389999993</v>
      </c>
      <c r="AB103" s="102">
        <f>+AA105</f>
        <v>27797972.389999993</v>
      </c>
      <c r="AC103" s="102">
        <f>+AB105</f>
        <v>23427929.389999993</v>
      </c>
      <c r="AD103" s="103">
        <f>+Z103</f>
        <v>39020669.389999993</v>
      </c>
      <c r="AE103" s="102">
        <f>+AD105</f>
        <v>19256704.389999993</v>
      </c>
      <c r="AF103" s="102">
        <f>+AE105</f>
        <v>15359393.389999993</v>
      </c>
      <c r="AG103" s="102">
        <f>+AF105</f>
        <v>11986158.389999993</v>
      </c>
      <c r="AH103" s="102">
        <f>+AG105</f>
        <v>9264072.3899999931</v>
      </c>
      <c r="AI103" s="103">
        <f>+AE103</f>
        <v>19256704.389999993</v>
      </c>
      <c r="AJ103" s="102">
        <f>+AI105</f>
        <v>7560897.3899999931</v>
      </c>
      <c r="AK103" s="102">
        <f>+AJ105</f>
        <v>4196704.3899999931</v>
      </c>
      <c r="AL103" s="102">
        <f>+AK105</f>
        <v>1378666.3899999931</v>
      </c>
      <c r="AM103" s="102">
        <f>+AL105</f>
        <v>-696002.61000000685</v>
      </c>
      <c r="AN103" s="103">
        <f>+AJ103</f>
        <v>7560897.3899999931</v>
      </c>
      <c r="AO103" s="27"/>
      <c r="AP103" s="27"/>
      <c r="AQ103" s="27"/>
      <c r="AR103" s="27"/>
      <c r="AS103" s="27"/>
      <c r="AT103" s="27"/>
      <c r="AU103" s="27"/>
      <c r="AV103" s="27"/>
      <c r="AW103" s="27"/>
      <c r="AX103" s="27"/>
      <c r="AY103" s="27"/>
      <c r="AZ103" s="27"/>
    </row>
    <row r="104" spans="1:52" ht="15.75" customHeight="1" x14ac:dyDescent="0.2">
      <c r="A104" s="27"/>
      <c r="B104" s="69" t="s">
        <v>545</v>
      </c>
      <c r="C104" s="69"/>
      <c r="D104" s="69"/>
      <c r="E104" s="69"/>
      <c r="F104" s="74">
        <f t="shared" ref="F104:AN104" si="29">+F96+F99+F102</f>
        <v>97779.670000000013</v>
      </c>
      <c r="G104" s="74">
        <f t="shared" si="29"/>
        <v>-22438.26</v>
      </c>
      <c r="H104" s="74">
        <f t="shared" si="29"/>
        <v>4874522.43</v>
      </c>
      <c r="I104" s="74">
        <f t="shared" si="29"/>
        <v>-438169.57999999996</v>
      </c>
      <c r="J104" s="75">
        <f t="shared" si="29"/>
        <v>4511694.26</v>
      </c>
      <c r="K104" s="74">
        <f t="shared" si="29"/>
        <v>-396401.06000000006</v>
      </c>
      <c r="L104" s="74">
        <f t="shared" si="29"/>
        <v>13117645.65</v>
      </c>
      <c r="M104" s="74">
        <f t="shared" si="29"/>
        <v>-217022.75000000151</v>
      </c>
      <c r="N104" s="74">
        <f t="shared" si="29"/>
        <v>-1596473.5500000012</v>
      </c>
      <c r="O104" s="75">
        <f t="shared" si="29"/>
        <v>10907748.289999997</v>
      </c>
      <c r="P104" s="74">
        <f t="shared" si="29"/>
        <v>-1414879.069999998</v>
      </c>
      <c r="Q104" s="74">
        <f t="shared" si="29"/>
        <v>32075899.919999994</v>
      </c>
      <c r="R104" s="74">
        <f t="shared" si="29"/>
        <v>-4515141.8400000045</v>
      </c>
      <c r="S104" s="74">
        <f t="shared" si="29"/>
        <v>-5366765.4999999916</v>
      </c>
      <c r="T104" s="75">
        <f t="shared" si="29"/>
        <v>20779113.509999998</v>
      </c>
      <c r="U104" s="74">
        <f t="shared" si="29"/>
        <v>-6433030.5400000019</v>
      </c>
      <c r="V104" s="74">
        <f t="shared" si="29"/>
        <v>-7733307</v>
      </c>
      <c r="W104" s="76">
        <f t="shared" si="29"/>
        <v>23006424</v>
      </c>
      <c r="X104" s="74">
        <f t="shared" si="29"/>
        <v>-6037953.2999999989</v>
      </c>
      <c r="Y104" s="75">
        <f t="shared" si="29"/>
        <v>2802133.1599999964</v>
      </c>
      <c r="Z104" s="74">
        <f t="shared" si="29"/>
        <v>-5938683</v>
      </c>
      <c r="AA104" s="74">
        <f t="shared" si="29"/>
        <v>-5284014</v>
      </c>
      <c r="AB104" s="74">
        <f t="shared" si="29"/>
        <v>-4370043</v>
      </c>
      <c r="AC104" s="74">
        <f t="shared" si="29"/>
        <v>-4171225</v>
      </c>
      <c r="AD104" s="75">
        <f t="shared" si="29"/>
        <v>-19763965</v>
      </c>
      <c r="AE104" s="74">
        <f t="shared" si="29"/>
        <v>-3897311</v>
      </c>
      <c r="AF104" s="74">
        <f t="shared" si="29"/>
        <v>-3373235</v>
      </c>
      <c r="AG104" s="74">
        <f t="shared" si="29"/>
        <v>-2722086</v>
      </c>
      <c r="AH104" s="74">
        <f t="shared" si="29"/>
        <v>-1703177</v>
      </c>
      <c r="AI104" s="75">
        <f t="shared" si="29"/>
        <v>-11695807</v>
      </c>
      <c r="AJ104" s="74">
        <f t="shared" si="29"/>
        <v>-3364193</v>
      </c>
      <c r="AK104" s="74">
        <f t="shared" si="29"/>
        <v>-2818038</v>
      </c>
      <c r="AL104" s="74">
        <f t="shared" si="29"/>
        <v>-2074669</v>
      </c>
      <c r="AM104" s="74">
        <f t="shared" si="29"/>
        <v>-534867</v>
      </c>
      <c r="AN104" s="75">
        <f t="shared" si="29"/>
        <v>-8791767</v>
      </c>
      <c r="AO104" s="27"/>
      <c r="AP104" s="27"/>
      <c r="AQ104" s="27"/>
      <c r="AR104" s="27"/>
      <c r="AS104" s="27"/>
      <c r="AT104" s="27"/>
      <c r="AU104" s="27"/>
      <c r="AV104" s="27"/>
      <c r="AW104" s="27"/>
      <c r="AX104" s="27"/>
      <c r="AY104" s="27"/>
      <c r="AZ104" s="27"/>
    </row>
    <row r="105" spans="1:52" ht="15.75" customHeight="1" thickBot="1" x14ac:dyDescent="0.25">
      <c r="A105" s="27"/>
      <c r="B105" s="105" t="s">
        <v>546</v>
      </c>
      <c r="C105" s="105"/>
      <c r="D105" s="105"/>
      <c r="E105" s="105"/>
      <c r="F105" s="106">
        <f t="shared" ref="F105:AN105" si="30">+F103+F104</f>
        <v>117759.84000000001</v>
      </c>
      <c r="G105" s="106">
        <f t="shared" si="30"/>
        <v>95321.580000000016</v>
      </c>
      <c r="H105" s="106">
        <f t="shared" si="30"/>
        <v>4969844.01</v>
      </c>
      <c r="I105" s="106">
        <f t="shared" si="30"/>
        <v>4531674.43</v>
      </c>
      <c r="J105" s="107">
        <f t="shared" si="30"/>
        <v>4531674.43</v>
      </c>
      <c r="K105" s="106">
        <f t="shared" si="30"/>
        <v>4135273.3699999996</v>
      </c>
      <c r="L105" s="106">
        <f t="shared" si="30"/>
        <v>17252919.02</v>
      </c>
      <c r="M105" s="106">
        <f t="shared" si="30"/>
        <v>17035896.27</v>
      </c>
      <c r="N105" s="106">
        <f t="shared" si="30"/>
        <v>15439422.719999999</v>
      </c>
      <c r="O105" s="107">
        <f t="shared" si="30"/>
        <v>15439422.719999997</v>
      </c>
      <c r="P105" s="106">
        <f t="shared" si="30"/>
        <v>14024543.649999999</v>
      </c>
      <c r="Q105" s="106">
        <f t="shared" si="30"/>
        <v>46100443.569999993</v>
      </c>
      <c r="R105" s="106">
        <f t="shared" si="30"/>
        <v>41585301.729999989</v>
      </c>
      <c r="S105" s="106">
        <f t="shared" si="30"/>
        <v>36218536.229999997</v>
      </c>
      <c r="T105" s="107">
        <f t="shared" si="30"/>
        <v>36218536.229999997</v>
      </c>
      <c r="U105" s="106">
        <f t="shared" si="30"/>
        <v>29785505.689999994</v>
      </c>
      <c r="V105" s="106">
        <f t="shared" si="30"/>
        <v>22052198.689999994</v>
      </c>
      <c r="W105" s="108">
        <f t="shared" si="30"/>
        <v>45058622.689999998</v>
      </c>
      <c r="X105" s="106">
        <f t="shared" si="30"/>
        <v>39020669.390000001</v>
      </c>
      <c r="Y105" s="107">
        <f t="shared" si="30"/>
        <v>39020669.389999993</v>
      </c>
      <c r="Z105" s="106">
        <f t="shared" si="30"/>
        <v>33081986.389999993</v>
      </c>
      <c r="AA105" s="106">
        <f t="shared" si="30"/>
        <v>27797972.389999993</v>
      </c>
      <c r="AB105" s="106">
        <f t="shared" si="30"/>
        <v>23427929.389999993</v>
      </c>
      <c r="AC105" s="106">
        <f t="shared" si="30"/>
        <v>19256704.389999993</v>
      </c>
      <c r="AD105" s="107">
        <f t="shared" si="30"/>
        <v>19256704.389999993</v>
      </c>
      <c r="AE105" s="106">
        <f t="shared" si="30"/>
        <v>15359393.389999993</v>
      </c>
      <c r="AF105" s="106">
        <f t="shared" si="30"/>
        <v>11986158.389999993</v>
      </c>
      <c r="AG105" s="106">
        <f t="shared" si="30"/>
        <v>9264072.3899999931</v>
      </c>
      <c r="AH105" s="106">
        <f t="shared" si="30"/>
        <v>7560895.3899999931</v>
      </c>
      <c r="AI105" s="107">
        <f t="shared" si="30"/>
        <v>7560897.3899999931</v>
      </c>
      <c r="AJ105" s="106">
        <f t="shared" si="30"/>
        <v>4196704.3899999931</v>
      </c>
      <c r="AK105" s="106">
        <f t="shared" si="30"/>
        <v>1378666.3899999931</v>
      </c>
      <c r="AL105" s="106">
        <f t="shared" si="30"/>
        <v>-696002.61000000685</v>
      </c>
      <c r="AM105" s="106">
        <f t="shared" si="30"/>
        <v>-1230869.6100000069</v>
      </c>
      <c r="AN105" s="107">
        <f t="shared" si="30"/>
        <v>-1230869.6100000069</v>
      </c>
      <c r="AO105" s="27"/>
      <c r="AP105" s="27"/>
      <c r="AQ105" s="27"/>
      <c r="AR105" s="27"/>
      <c r="AS105" s="27"/>
      <c r="AT105" s="27"/>
      <c r="AU105" s="27"/>
      <c r="AV105" s="27"/>
      <c r="AW105" s="27"/>
      <c r="AX105" s="27"/>
      <c r="AY105" s="27"/>
      <c r="AZ105" s="27"/>
    </row>
    <row r="106" spans="1:52" ht="15.75" customHeight="1" thickTop="1" x14ac:dyDescent="0.2">
      <c r="A106" s="27"/>
      <c r="B106" s="69"/>
      <c r="C106" s="69"/>
      <c r="D106" s="69"/>
      <c r="E106" s="69"/>
      <c r="F106" s="74"/>
      <c r="G106" s="74"/>
      <c r="H106" s="74"/>
      <c r="I106" s="74"/>
      <c r="J106" s="75"/>
      <c r="K106" s="74"/>
      <c r="L106" s="74"/>
      <c r="M106" s="74"/>
      <c r="N106" s="74"/>
      <c r="O106" s="75"/>
      <c r="P106" s="74"/>
      <c r="Q106" s="74"/>
      <c r="R106" s="74"/>
      <c r="S106" s="74"/>
      <c r="T106" s="75"/>
      <c r="U106" s="74"/>
      <c r="V106" s="74"/>
      <c r="W106" s="76"/>
      <c r="X106" s="74"/>
      <c r="Y106" s="75"/>
      <c r="Z106" s="74"/>
      <c r="AA106" s="74"/>
      <c r="AB106" s="74"/>
      <c r="AC106" s="74"/>
      <c r="AD106" s="75"/>
      <c r="AE106" s="74"/>
      <c r="AF106" s="74"/>
      <c r="AG106" s="74"/>
      <c r="AH106" s="74"/>
      <c r="AI106" s="75"/>
      <c r="AJ106" s="74"/>
      <c r="AK106" s="74"/>
      <c r="AL106" s="74"/>
      <c r="AM106" s="74"/>
      <c r="AN106" s="75"/>
      <c r="AO106" s="27"/>
      <c r="AP106" s="27"/>
      <c r="AQ106" s="27"/>
      <c r="AR106" s="27"/>
      <c r="AS106" s="27"/>
      <c r="AT106" s="27"/>
      <c r="AU106" s="27"/>
      <c r="AV106" s="27"/>
      <c r="AW106" s="27"/>
      <c r="AX106" s="27"/>
      <c r="AY106" s="27"/>
      <c r="AZ106" s="27"/>
    </row>
    <row r="107" spans="1:52" ht="15.75" customHeight="1" x14ac:dyDescent="0.2">
      <c r="A107" s="27"/>
      <c r="B107" s="47" t="s">
        <v>547</v>
      </c>
      <c r="C107" s="47"/>
      <c r="D107" s="47"/>
      <c r="E107" s="47"/>
      <c r="F107" s="48"/>
      <c r="G107" s="48"/>
      <c r="H107" s="48"/>
      <c r="I107" s="48"/>
      <c r="J107" s="48"/>
      <c r="K107" s="48"/>
      <c r="L107" s="48"/>
      <c r="M107" s="48"/>
      <c r="N107" s="48"/>
      <c r="O107" s="48"/>
      <c r="P107" s="48"/>
      <c r="Q107" s="48"/>
      <c r="R107" s="48"/>
      <c r="S107" s="48"/>
      <c r="T107" s="48"/>
      <c r="U107" s="48"/>
      <c r="V107" s="48"/>
      <c r="W107" s="49"/>
      <c r="X107" s="48"/>
      <c r="Y107" s="48"/>
      <c r="Z107" s="48"/>
      <c r="AA107" s="48"/>
      <c r="AB107" s="48"/>
      <c r="AC107" s="48"/>
      <c r="AD107" s="48"/>
      <c r="AE107" s="48"/>
      <c r="AF107" s="48"/>
      <c r="AG107" s="48"/>
      <c r="AH107" s="48"/>
      <c r="AI107" s="48"/>
      <c r="AJ107" s="48"/>
      <c r="AK107" s="48"/>
      <c r="AL107" s="48"/>
      <c r="AM107" s="48"/>
      <c r="AN107" s="48"/>
      <c r="AO107" s="27"/>
      <c r="AP107" s="27"/>
      <c r="AQ107" s="27"/>
      <c r="AR107" s="27"/>
      <c r="AS107" s="27"/>
      <c r="AT107" s="27"/>
      <c r="AU107" s="27"/>
      <c r="AV107" s="27"/>
      <c r="AW107" s="27"/>
      <c r="AX107" s="27"/>
      <c r="AY107" s="27"/>
      <c r="AZ107" s="27"/>
    </row>
    <row r="108" spans="1:52" ht="15.75" customHeight="1" x14ac:dyDescent="0.2">
      <c r="A108" s="27"/>
      <c r="B108" s="109" t="s">
        <v>548</v>
      </c>
      <c r="C108" s="109"/>
      <c r="D108" s="109"/>
      <c r="E108" s="109"/>
      <c r="F108" s="110">
        <f>+SUM(F109:F111)</f>
        <v>0</v>
      </c>
      <c r="G108" s="110">
        <f>+SUM(G109:G111)</f>
        <v>0</v>
      </c>
      <c r="H108" s="110">
        <f>+SUM(H109:H111)</f>
        <v>1</v>
      </c>
      <c r="I108" s="110">
        <f>+SUM(I109:I111)</f>
        <v>1</v>
      </c>
      <c r="J108" s="111">
        <f>+I108</f>
        <v>1</v>
      </c>
      <c r="K108" s="110">
        <f>+SUM(K109:K111)</f>
        <v>1</v>
      </c>
      <c r="L108" s="110">
        <f>+SUM(L109:L111)</f>
        <v>2</v>
      </c>
      <c r="M108" s="110">
        <f>+SUM(M109:M111)</f>
        <v>3</v>
      </c>
      <c r="N108" s="110">
        <f>+SUM(N109:N111)</f>
        <v>6</v>
      </c>
      <c r="O108" s="111">
        <f>+N108</f>
        <v>6</v>
      </c>
      <c r="P108" s="110">
        <f>+SUM(P109:P111)</f>
        <v>9</v>
      </c>
      <c r="Q108" s="110">
        <f>+SUM(Q109:Q111)</f>
        <v>19</v>
      </c>
      <c r="R108" s="110">
        <f>+SUM(R109:R111)</f>
        <v>24</v>
      </c>
      <c r="S108" s="110">
        <f>+SUM(S109:S111)</f>
        <v>41</v>
      </c>
      <c r="T108" s="111">
        <f>+S108</f>
        <v>41</v>
      </c>
      <c r="U108" s="110">
        <f>+SUM(U109:U111)</f>
        <v>47</v>
      </c>
      <c r="V108" s="110">
        <f>+SUM(V109:V111)</f>
        <v>50</v>
      </c>
      <c r="W108" s="112">
        <f>+SUM(W109:W111)</f>
        <v>47</v>
      </c>
      <c r="X108" s="110">
        <f>+SUM(X109:X111)</f>
        <v>48</v>
      </c>
      <c r="Y108" s="111">
        <f>+X108</f>
        <v>48</v>
      </c>
      <c r="Z108" s="110">
        <f>+SUM(Z109:Z111)</f>
        <v>50</v>
      </c>
      <c r="AA108" s="110">
        <f>+SUM(AA109:AA111)</f>
        <v>53</v>
      </c>
      <c r="AB108" s="110">
        <f>+SUM(AB109:AB111)</f>
        <v>56</v>
      </c>
      <c r="AC108" s="110">
        <f>+SUM(AC109:AC111)</f>
        <v>60</v>
      </c>
      <c r="AD108" s="111">
        <f>+AC108</f>
        <v>60</v>
      </c>
      <c r="AE108" s="110">
        <f>+SUM(AE109:AE111)</f>
        <v>66</v>
      </c>
      <c r="AF108" s="110">
        <f>+SUM(AF109:AF111)</f>
        <v>73</v>
      </c>
      <c r="AG108" s="110">
        <f>+SUM(AG109:AG111)</f>
        <v>81</v>
      </c>
      <c r="AH108" s="110">
        <f>+SUM(AH109:AH111)</f>
        <v>91</v>
      </c>
      <c r="AI108" s="111">
        <f>+AH108</f>
        <v>91</v>
      </c>
      <c r="AJ108" s="110">
        <f>+SUM(AJ109:AJ111)</f>
        <v>98</v>
      </c>
      <c r="AK108" s="110">
        <f>+SUM(AK109:AK111)</f>
        <v>108</v>
      </c>
      <c r="AL108" s="110">
        <f>+SUM(AL109:AL111)</f>
        <v>116</v>
      </c>
      <c r="AM108" s="110">
        <f>+SUM(AM109:AM111)</f>
        <v>127</v>
      </c>
      <c r="AN108" s="111">
        <f>+AM108</f>
        <v>127</v>
      </c>
      <c r="AO108" s="27"/>
      <c r="AP108" s="27"/>
      <c r="AQ108" s="27"/>
      <c r="AR108" s="27"/>
      <c r="AS108" s="27"/>
      <c r="AT108" s="27"/>
      <c r="AU108" s="27"/>
      <c r="AV108" s="27"/>
      <c r="AW108" s="27"/>
      <c r="AX108" s="27"/>
      <c r="AY108" s="27"/>
      <c r="AZ108" s="27"/>
    </row>
    <row r="109" spans="1:52" ht="15.75" customHeight="1" x14ac:dyDescent="0.2">
      <c r="A109" s="27"/>
      <c r="B109" s="69" t="s">
        <v>549</v>
      </c>
      <c r="C109" s="69"/>
      <c r="D109" s="69"/>
      <c r="E109" s="69"/>
      <c r="F109" s="113">
        <v>0</v>
      </c>
      <c r="G109" s="113">
        <v>0</v>
      </c>
      <c r="H109" s="113">
        <v>0</v>
      </c>
      <c r="I109" s="113">
        <v>0</v>
      </c>
      <c r="J109" s="114">
        <v>0</v>
      </c>
      <c r="K109" s="113">
        <v>0</v>
      </c>
      <c r="L109" s="113">
        <v>1</v>
      </c>
      <c r="M109" s="113">
        <v>1</v>
      </c>
      <c r="N109" s="113">
        <v>4</v>
      </c>
      <c r="O109" s="114">
        <v>4</v>
      </c>
      <c r="P109" s="113">
        <v>4</v>
      </c>
      <c r="Q109" s="113">
        <v>10</v>
      </c>
      <c r="R109" s="113">
        <v>11</v>
      </c>
      <c r="S109" s="113">
        <v>23</v>
      </c>
      <c r="T109" s="114">
        <v>23</v>
      </c>
      <c r="U109" s="113">
        <v>23</v>
      </c>
      <c r="V109" s="113">
        <v>21</v>
      </c>
      <c r="W109" s="115">
        <v>19</v>
      </c>
      <c r="X109" s="113">
        <v>20</v>
      </c>
      <c r="Y109" s="114">
        <v>28</v>
      </c>
      <c r="Z109" s="113">
        <v>21</v>
      </c>
      <c r="AA109" s="113">
        <v>23</v>
      </c>
      <c r="AB109" s="113">
        <v>25</v>
      </c>
      <c r="AC109" s="113">
        <v>28</v>
      </c>
      <c r="AD109" s="114">
        <v>28</v>
      </c>
      <c r="AE109" s="113">
        <v>32</v>
      </c>
      <c r="AF109" s="113">
        <v>37</v>
      </c>
      <c r="AG109" s="113">
        <v>42</v>
      </c>
      <c r="AH109" s="113">
        <v>49</v>
      </c>
      <c r="AI109" s="114">
        <v>49</v>
      </c>
      <c r="AJ109" s="113">
        <v>53</v>
      </c>
      <c r="AK109" s="113">
        <v>60</v>
      </c>
      <c r="AL109" s="113">
        <v>65</v>
      </c>
      <c r="AM109" s="113">
        <v>73</v>
      </c>
      <c r="AN109" s="114">
        <v>73</v>
      </c>
      <c r="AO109" s="27"/>
      <c r="AP109" s="27"/>
      <c r="AQ109" s="27"/>
      <c r="AR109" s="27"/>
      <c r="AS109" s="27"/>
      <c r="AT109" s="27"/>
      <c r="AU109" s="27"/>
      <c r="AV109" s="27"/>
      <c r="AW109" s="27"/>
      <c r="AX109" s="27"/>
      <c r="AY109" s="27"/>
      <c r="AZ109" s="27"/>
    </row>
    <row r="110" spans="1:52" ht="15.75" customHeight="1" x14ac:dyDescent="0.2">
      <c r="A110" s="27"/>
      <c r="B110" s="69" t="s">
        <v>550</v>
      </c>
      <c r="C110" s="69"/>
      <c r="D110" s="69"/>
      <c r="E110" s="69"/>
      <c r="F110" s="113">
        <v>0</v>
      </c>
      <c r="G110" s="113">
        <v>0</v>
      </c>
      <c r="H110" s="113">
        <v>0</v>
      </c>
      <c r="I110" s="113">
        <v>0</v>
      </c>
      <c r="J110" s="114">
        <v>0</v>
      </c>
      <c r="K110" s="113">
        <v>0</v>
      </c>
      <c r="L110" s="113">
        <v>0</v>
      </c>
      <c r="M110" s="113">
        <v>0</v>
      </c>
      <c r="N110" s="113">
        <v>0</v>
      </c>
      <c r="O110" s="114">
        <v>0</v>
      </c>
      <c r="P110" s="113">
        <v>2</v>
      </c>
      <c r="Q110" s="113">
        <v>4</v>
      </c>
      <c r="R110" s="113">
        <v>7</v>
      </c>
      <c r="S110" s="113">
        <v>10</v>
      </c>
      <c r="T110" s="114">
        <v>10</v>
      </c>
      <c r="U110" s="113">
        <v>12</v>
      </c>
      <c r="V110" s="113">
        <v>17</v>
      </c>
      <c r="W110" s="115">
        <v>17</v>
      </c>
      <c r="X110" s="113">
        <v>17</v>
      </c>
      <c r="Y110" s="114">
        <v>14</v>
      </c>
      <c r="Z110" s="113">
        <v>17</v>
      </c>
      <c r="AA110" s="113">
        <v>17</v>
      </c>
      <c r="AB110" s="113">
        <v>17</v>
      </c>
      <c r="AC110" s="113">
        <v>17</v>
      </c>
      <c r="AD110" s="114">
        <v>17</v>
      </c>
      <c r="AE110" s="113">
        <v>17</v>
      </c>
      <c r="AF110" s="113">
        <v>17</v>
      </c>
      <c r="AG110" s="113">
        <v>17</v>
      </c>
      <c r="AH110" s="113">
        <v>17</v>
      </c>
      <c r="AI110" s="114">
        <v>17</v>
      </c>
      <c r="AJ110" s="113">
        <v>17</v>
      </c>
      <c r="AK110" s="113">
        <v>17</v>
      </c>
      <c r="AL110" s="113">
        <v>17</v>
      </c>
      <c r="AM110" s="113">
        <v>17</v>
      </c>
      <c r="AN110" s="114">
        <v>17</v>
      </c>
      <c r="AO110" s="27"/>
      <c r="AP110" s="27"/>
      <c r="AQ110" s="27"/>
      <c r="AR110" s="27"/>
      <c r="AS110" s="27"/>
      <c r="AT110" s="27"/>
      <c r="AU110" s="27"/>
      <c r="AV110" s="27"/>
      <c r="AW110" s="27"/>
      <c r="AX110" s="27"/>
      <c r="AY110" s="27"/>
      <c r="AZ110" s="27"/>
    </row>
    <row r="111" spans="1:52" ht="15.75" customHeight="1" x14ac:dyDescent="0.2">
      <c r="A111" s="27"/>
      <c r="B111" s="69" t="s">
        <v>551</v>
      </c>
      <c r="C111" s="69"/>
      <c r="D111" s="69"/>
      <c r="E111" s="69"/>
      <c r="F111" s="113">
        <v>0</v>
      </c>
      <c r="G111" s="113">
        <v>0</v>
      </c>
      <c r="H111" s="113">
        <v>1</v>
      </c>
      <c r="I111" s="113">
        <v>1</v>
      </c>
      <c r="J111" s="114">
        <v>1</v>
      </c>
      <c r="K111" s="113">
        <v>1</v>
      </c>
      <c r="L111" s="113">
        <v>1</v>
      </c>
      <c r="M111" s="113">
        <v>2</v>
      </c>
      <c r="N111" s="113">
        <v>2</v>
      </c>
      <c r="O111" s="114">
        <v>2</v>
      </c>
      <c r="P111" s="113">
        <v>3</v>
      </c>
      <c r="Q111" s="113">
        <v>5</v>
      </c>
      <c r="R111" s="113">
        <v>6</v>
      </c>
      <c r="S111" s="113">
        <v>8</v>
      </c>
      <c r="T111" s="114">
        <v>8</v>
      </c>
      <c r="U111" s="113">
        <v>12</v>
      </c>
      <c r="V111" s="113">
        <v>12</v>
      </c>
      <c r="W111" s="115">
        <v>11</v>
      </c>
      <c r="X111" s="113">
        <v>11</v>
      </c>
      <c r="Y111" s="114">
        <v>13</v>
      </c>
      <c r="Z111" s="113">
        <v>12</v>
      </c>
      <c r="AA111" s="113">
        <v>13</v>
      </c>
      <c r="AB111" s="113">
        <v>14</v>
      </c>
      <c r="AC111" s="113">
        <v>15</v>
      </c>
      <c r="AD111" s="114">
        <v>15</v>
      </c>
      <c r="AE111" s="113">
        <v>17</v>
      </c>
      <c r="AF111" s="113">
        <v>19</v>
      </c>
      <c r="AG111" s="113">
        <v>22</v>
      </c>
      <c r="AH111" s="113">
        <v>25</v>
      </c>
      <c r="AI111" s="114">
        <v>25</v>
      </c>
      <c r="AJ111" s="113">
        <v>28</v>
      </c>
      <c r="AK111" s="113">
        <v>31</v>
      </c>
      <c r="AL111" s="113">
        <v>34</v>
      </c>
      <c r="AM111" s="113">
        <v>37</v>
      </c>
      <c r="AN111" s="114">
        <v>37</v>
      </c>
      <c r="AO111" s="27"/>
      <c r="AP111" s="27"/>
      <c r="AQ111" s="27"/>
      <c r="AR111" s="27"/>
      <c r="AS111" s="27"/>
      <c r="AT111" s="27"/>
      <c r="AU111" s="27"/>
      <c r="AV111" s="27"/>
      <c r="AW111" s="27"/>
      <c r="AX111" s="27"/>
      <c r="AY111" s="27"/>
      <c r="AZ111" s="27"/>
    </row>
    <row r="112" spans="1:52" ht="15.75" customHeight="1" x14ac:dyDescent="0.2">
      <c r="A112" s="27"/>
      <c r="B112" s="116" t="s">
        <v>552</v>
      </c>
      <c r="C112" s="116"/>
      <c r="D112" s="116"/>
      <c r="E112" s="116"/>
      <c r="F112" s="117">
        <f t="shared" ref="F112:AN112" si="31">+SUM(F113:F115)</f>
        <v>0</v>
      </c>
      <c r="G112" s="117">
        <f t="shared" si="31"/>
        <v>0</v>
      </c>
      <c r="H112" s="117">
        <f t="shared" si="31"/>
        <v>2</v>
      </c>
      <c r="I112" s="117">
        <f t="shared" si="31"/>
        <v>5</v>
      </c>
      <c r="J112" s="118">
        <f t="shared" si="31"/>
        <v>5</v>
      </c>
      <c r="K112" s="117">
        <f t="shared" si="31"/>
        <v>5</v>
      </c>
      <c r="L112" s="117">
        <f t="shared" si="31"/>
        <v>7</v>
      </c>
      <c r="M112" s="117">
        <f t="shared" si="31"/>
        <v>10</v>
      </c>
      <c r="N112" s="117">
        <f t="shared" si="31"/>
        <v>12</v>
      </c>
      <c r="O112" s="118">
        <f t="shared" si="31"/>
        <v>12</v>
      </c>
      <c r="P112" s="117">
        <f t="shared" si="31"/>
        <v>16</v>
      </c>
      <c r="Q112" s="117">
        <f t="shared" si="31"/>
        <v>27</v>
      </c>
      <c r="R112" s="117">
        <f t="shared" si="31"/>
        <v>45</v>
      </c>
      <c r="S112" s="117">
        <f t="shared" si="31"/>
        <v>54</v>
      </c>
      <c r="T112" s="118">
        <f t="shared" si="31"/>
        <v>54</v>
      </c>
      <c r="U112" s="117">
        <f t="shared" si="31"/>
        <v>67</v>
      </c>
      <c r="V112" s="117">
        <f t="shared" si="31"/>
        <v>77</v>
      </c>
      <c r="W112" s="119">
        <f t="shared" si="31"/>
        <v>72</v>
      </c>
      <c r="X112" s="117">
        <f t="shared" si="31"/>
        <v>73</v>
      </c>
      <c r="Y112" s="118">
        <f t="shared" si="31"/>
        <v>76.5</v>
      </c>
      <c r="Z112" s="117">
        <f t="shared" si="31"/>
        <v>79.5</v>
      </c>
      <c r="AA112" s="117">
        <f t="shared" si="31"/>
        <v>84.25</v>
      </c>
      <c r="AB112" s="117">
        <f t="shared" si="31"/>
        <v>87.25</v>
      </c>
      <c r="AC112" s="117">
        <f t="shared" si="31"/>
        <v>95</v>
      </c>
      <c r="AD112" s="118">
        <f t="shared" si="31"/>
        <v>95</v>
      </c>
      <c r="AE112" s="117">
        <f t="shared" si="31"/>
        <v>100.75</v>
      </c>
      <c r="AF112" s="117">
        <f t="shared" si="31"/>
        <v>106.75</v>
      </c>
      <c r="AG112" s="117">
        <f t="shared" si="31"/>
        <v>113.5</v>
      </c>
      <c r="AH112" s="117">
        <f t="shared" si="31"/>
        <v>118.5</v>
      </c>
      <c r="AI112" s="118">
        <f t="shared" si="31"/>
        <v>118.5</v>
      </c>
      <c r="AJ112" s="117">
        <f t="shared" si="31"/>
        <v>125.25</v>
      </c>
      <c r="AK112" s="117">
        <f t="shared" si="31"/>
        <v>136</v>
      </c>
      <c r="AL112" s="117">
        <f t="shared" si="31"/>
        <v>140</v>
      </c>
      <c r="AM112" s="117">
        <f t="shared" si="31"/>
        <v>148.75</v>
      </c>
      <c r="AN112" s="118">
        <f t="shared" si="31"/>
        <v>148.75</v>
      </c>
      <c r="AO112" s="27"/>
      <c r="AP112" s="27"/>
      <c r="AQ112" s="27"/>
      <c r="AR112" s="27"/>
      <c r="AS112" s="27"/>
      <c r="AT112" s="27"/>
      <c r="AU112" s="27"/>
      <c r="AV112" s="27"/>
      <c r="AW112" s="27"/>
      <c r="AX112" s="27"/>
      <c r="AY112" s="27"/>
      <c r="AZ112" s="27"/>
    </row>
    <row r="113" spans="1:52" ht="15.75" customHeight="1" x14ac:dyDescent="0.2">
      <c r="A113" s="27"/>
      <c r="B113" s="69" t="s">
        <v>553</v>
      </c>
      <c r="C113" s="69"/>
      <c r="D113" s="69"/>
      <c r="E113" s="69"/>
      <c r="F113" s="113">
        <v>0</v>
      </c>
      <c r="G113" s="113">
        <v>0</v>
      </c>
      <c r="H113" s="113">
        <v>2</v>
      </c>
      <c r="I113" s="113">
        <v>5</v>
      </c>
      <c r="J113" s="114">
        <v>5</v>
      </c>
      <c r="K113" s="113">
        <v>5</v>
      </c>
      <c r="L113" s="113">
        <v>7</v>
      </c>
      <c r="M113" s="113">
        <v>10</v>
      </c>
      <c r="N113" s="113">
        <v>12</v>
      </c>
      <c r="O113" s="114">
        <v>12</v>
      </c>
      <c r="P113" s="113">
        <v>13</v>
      </c>
      <c r="Q113" s="113">
        <v>20</v>
      </c>
      <c r="R113" s="113">
        <v>30</v>
      </c>
      <c r="S113" s="113">
        <v>37</v>
      </c>
      <c r="T113" s="114">
        <v>37</v>
      </c>
      <c r="U113" s="113">
        <v>47</v>
      </c>
      <c r="V113" s="113">
        <v>51</v>
      </c>
      <c r="W113" s="115">
        <v>48</v>
      </c>
      <c r="X113" s="113">
        <v>49</v>
      </c>
      <c r="Y113" s="114">
        <v>51</v>
      </c>
      <c r="Z113" s="113">
        <v>54</v>
      </c>
      <c r="AA113" s="113">
        <v>57</v>
      </c>
      <c r="AB113" s="113">
        <v>60</v>
      </c>
      <c r="AC113" s="113">
        <v>65</v>
      </c>
      <c r="AD113" s="114">
        <v>65</v>
      </c>
      <c r="AE113" s="113">
        <v>69</v>
      </c>
      <c r="AF113" s="113">
        <v>75</v>
      </c>
      <c r="AG113" s="113">
        <v>79</v>
      </c>
      <c r="AH113" s="113">
        <v>84</v>
      </c>
      <c r="AI113" s="114">
        <v>84</v>
      </c>
      <c r="AJ113" s="113">
        <v>88</v>
      </c>
      <c r="AK113" s="113">
        <v>93</v>
      </c>
      <c r="AL113" s="113">
        <v>97</v>
      </c>
      <c r="AM113" s="113">
        <v>103</v>
      </c>
      <c r="AN113" s="114">
        <v>103</v>
      </c>
      <c r="AO113" s="27"/>
      <c r="AP113" s="27"/>
      <c r="AQ113" s="27"/>
      <c r="AR113" s="27"/>
      <c r="AS113" s="27"/>
      <c r="AT113" s="27"/>
      <c r="AU113" s="27"/>
      <c r="AV113" s="27"/>
      <c r="AW113" s="27"/>
      <c r="AX113" s="27"/>
      <c r="AY113" s="27"/>
      <c r="AZ113" s="27"/>
    </row>
    <row r="114" spans="1:52" ht="15.75" customHeight="1" x14ac:dyDescent="0.2">
      <c r="A114" s="27"/>
      <c r="B114" s="69" t="s">
        <v>554</v>
      </c>
      <c r="C114" s="69"/>
      <c r="D114" s="69"/>
      <c r="E114" s="69"/>
      <c r="F114" s="113">
        <v>0</v>
      </c>
      <c r="G114" s="113">
        <v>0</v>
      </c>
      <c r="H114" s="113">
        <v>0</v>
      </c>
      <c r="I114" s="113">
        <v>0</v>
      </c>
      <c r="J114" s="114">
        <v>0</v>
      </c>
      <c r="K114" s="113">
        <v>0</v>
      </c>
      <c r="L114" s="113">
        <v>0</v>
      </c>
      <c r="M114" s="113">
        <v>0</v>
      </c>
      <c r="N114" s="113">
        <v>0</v>
      </c>
      <c r="O114" s="114">
        <v>0</v>
      </c>
      <c r="P114" s="113">
        <v>1</v>
      </c>
      <c r="Q114" s="113">
        <v>2</v>
      </c>
      <c r="R114" s="113">
        <v>4</v>
      </c>
      <c r="S114" s="113">
        <v>7</v>
      </c>
      <c r="T114" s="114">
        <v>7</v>
      </c>
      <c r="U114" s="113">
        <v>9</v>
      </c>
      <c r="V114" s="113">
        <v>10</v>
      </c>
      <c r="W114" s="115">
        <v>10</v>
      </c>
      <c r="X114" s="113">
        <v>10</v>
      </c>
      <c r="Y114" s="114">
        <v>13</v>
      </c>
      <c r="Z114" s="113">
        <v>13</v>
      </c>
      <c r="AA114" s="113">
        <v>13</v>
      </c>
      <c r="AB114" s="113">
        <v>13</v>
      </c>
      <c r="AC114" s="113">
        <v>13</v>
      </c>
      <c r="AD114" s="114">
        <v>13</v>
      </c>
      <c r="AE114" s="113">
        <v>13</v>
      </c>
      <c r="AF114" s="113">
        <v>13</v>
      </c>
      <c r="AG114" s="113">
        <v>14</v>
      </c>
      <c r="AH114" s="113">
        <v>14</v>
      </c>
      <c r="AI114" s="114">
        <v>14</v>
      </c>
      <c r="AJ114" s="113">
        <v>15</v>
      </c>
      <c r="AK114" s="113">
        <v>17</v>
      </c>
      <c r="AL114" s="113">
        <v>17</v>
      </c>
      <c r="AM114" s="113">
        <v>18</v>
      </c>
      <c r="AN114" s="114">
        <v>18</v>
      </c>
      <c r="AO114" s="27"/>
      <c r="AP114" s="27"/>
      <c r="AQ114" s="27"/>
      <c r="AR114" s="27"/>
      <c r="AS114" s="27"/>
      <c r="AT114" s="27"/>
      <c r="AU114" s="27"/>
      <c r="AV114" s="27"/>
      <c r="AW114" s="27"/>
      <c r="AX114" s="27"/>
      <c r="AY114" s="27"/>
      <c r="AZ114" s="27"/>
    </row>
    <row r="115" spans="1:52" ht="15.75" customHeight="1" x14ac:dyDescent="0.2">
      <c r="A115" s="27"/>
      <c r="B115" s="69" t="s">
        <v>555</v>
      </c>
      <c r="C115" s="69"/>
      <c r="D115" s="69"/>
      <c r="E115" s="69"/>
      <c r="F115" s="113">
        <v>0</v>
      </c>
      <c r="G115" s="113">
        <v>0</v>
      </c>
      <c r="H115" s="113">
        <v>0</v>
      </c>
      <c r="I115" s="113">
        <v>0</v>
      </c>
      <c r="J115" s="114">
        <v>0</v>
      </c>
      <c r="K115" s="113">
        <v>0</v>
      </c>
      <c r="L115" s="113">
        <v>0</v>
      </c>
      <c r="M115" s="113">
        <v>0</v>
      </c>
      <c r="N115" s="113">
        <v>0</v>
      </c>
      <c r="O115" s="114">
        <v>0</v>
      </c>
      <c r="P115" s="113">
        <v>2</v>
      </c>
      <c r="Q115" s="113">
        <v>5</v>
      </c>
      <c r="R115" s="113">
        <v>11</v>
      </c>
      <c r="S115" s="113">
        <v>10</v>
      </c>
      <c r="T115" s="114">
        <v>10</v>
      </c>
      <c r="U115" s="113">
        <v>11</v>
      </c>
      <c r="V115" s="113">
        <v>16</v>
      </c>
      <c r="W115" s="115">
        <v>14</v>
      </c>
      <c r="X115" s="113">
        <v>14</v>
      </c>
      <c r="Y115" s="114">
        <v>12.5</v>
      </c>
      <c r="Z115" s="113">
        <v>12.5</v>
      </c>
      <c r="AA115" s="113">
        <v>14.25</v>
      </c>
      <c r="AB115" s="113">
        <v>14.25</v>
      </c>
      <c r="AC115" s="113">
        <v>17</v>
      </c>
      <c r="AD115" s="114">
        <v>17</v>
      </c>
      <c r="AE115" s="113">
        <v>18.75</v>
      </c>
      <c r="AF115" s="113">
        <v>18.75</v>
      </c>
      <c r="AG115" s="113">
        <v>20.5</v>
      </c>
      <c r="AH115" s="113">
        <v>20.5</v>
      </c>
      <c r="AI115" s="114">
        <v>20.5</v>
      </c>
      <c r="AJ115" s="113">
        <v>22.25</v>
      </c>
      <c r="AK115" s="113">
        <v>26</v>
      </c>
      <c r="AL115" s="113">
        <v>26</v>
      </c>
      <c r="AM115" s="113">
        <v>27.75</v>
      </c>
      <c r="AN115" s="114">
        <v>27.75</v>
      </c>
      <c r="AO115" s="27"/>
      <c r="AP115" s="27"/>
      <c r="AQ115" s="27"/>
      <c r="AR115" s="27"/>
      <c r="AS115" s="27"/>
      <c r="AT115" s="27"/>
      <c r="AU115" s="27"/>
      <c r="AV115" s="27"/>
      <c r="AW115" s="27"/>
      <c r="AX115" s="27"/>
      <c r="AY115" s="27"/>
      <c r="AZ115" s="27"/>
    </row>
    <row r="116" spans="1:52" ht="15.75" customHeight="1" x14ac:dyDescent="0.2">
      <c r="A116" s="27"/>
      <c r="B116" s="116" t="s">
        <v>556</v>
      </c>
      <c r="C116" s="116"/>
      <c r="D116" s="116"/>
      <c r="E116" s="116"/>
      <c r="F116" s="117">
        <f t="shared" ref="F116:AN116" si="32">+SUM(F117:F118)</f>
        <v>0</v>
      </c>
      <c r="G116" s="117">
        <f t="shared" si="32"/>
        <v>0</v>
      </c>
      <c r="H116" s="117">
        <f t="shared" si="32"/>
        <v>0</v>
      </c>
      <c r="I116" s="117">
        <f t="shared" si="32"/>
        <v>0</v>
      </c>
      <c r="J116" s="118">
        <f t="shared" si="32"/>
        <v>0</v>
      </c>
      <c r="K116" s="117">
        <f t="shared" si="32"/>
        <v>1</v>
      </c>
      <c r="L116" s="117">
        <f t="shared" si="32"/>
        <v>2</v>
      </c>
      <c r="M116" s="117">
        <f t="shared" si="32"/>
        <v>4</v>
      </c>
      <c r="N116" s="117">
        <f t="shared" si="32"/>
        <v>7</v>
      </c>
      <c r="O116" s="118">
        <f t="shared" si="32"/>
        <v>7</v>
      </c>
      <c r="P116" s="117">
        <f t="shared" si="32"/>
        <v>12</v>
      </c>
      <c r="Q116" s="117">
        <f t="shared" si="32"/>
        <v>24</v>
      </c>
      <c r="R116" s="117">
        <f t="shared" si="32"/>
        <v>25</v>
      </c>
      <c r="S116" s="117">
        <f t="shared" si="32"/>
        <v>46</v>
      </c>
      <c r="T116" s="118">
        <f t="shared" si="32"/>
        <v>46</v>
      </c>
      <c r="U116" s="117">
        <f t="shared" si="32"/>
        <v>60</v>
      </c>
      <c r="V116" s="117">
        <f t="shared" si="32"/>
        <v>63</v>
      </c>
      <c r="W116" s="119">
        <f t="shared" si="32"/>
        <v>60</v>
      </c>
      <c r="X116" s="117">
        <f t="shared" si="32"/>
        <v>61</v>
      </c>
      <c r="Y116" s="118">
        <f t="shared" si="32"/>
        <v>64</v>
      </c>
      <c r="Z116" s="117">
        <f t="shared" si="32"/>
        <v>65</v>
      </c>
      <c r="AA116" s="117">
        <f t="shared" si="32"/>
        <v>67.021827687042403</v>
      </c>
      <c r="AB116" s="117">
        <f t="shared" si="32"/>
        <v>71.237964401948346</v>
      </c>
      <c r="AC116" s="117">
        <f t="shared" si="32"/>
        <v>85.95265731749916</v>
      </c>
      <c r="AD116" s="118">
        <f t="shared" si="32"/>
        <v>85.95265731749916</v>
      </c>
      <c r="AE116" s="117">
        <f t="shared" si="32"/>
        <v>86.95265731749916</v>
      </c>
      <c r="AF116" s="117">
        <f t="shared" si="32"/>
        <v>98.740596306530151</v>
      </c>
      <c r="AG116" s="117">
        <f t="shared" si="32"/>
        <v>99.740596306530151</v>
      </c>
      <c r="AH116" s="117">
        <f t="shared" si="32"/>
        <v>111.04731944429042</v>
      </c>
      <c r="AI116" s="118">
        <f t="shared" si="32"/>
        <v>111.04731944429042</v>
      </c>
      <c r="AJ116" s="117">
        <f t="shared" si="32"/>
        <v>112.04731944429042</v>
      </c>
      <c r="AK116" s="117">
        <f t="shared" si="32"/>
        <v>116.42493311468984</v>
      </c>
      <c r="AL116" s="117">
        <f t="shared" si="32"/>
        <v>134.59613214903334</v>
      </c>
      <c r="AM116" s="117">
        <f t="shared" si="32"/>
        <v>154.16069164950358</v>
      </c>
      <c r="AN116" s="118">
        <f t="shared" si="32"/>
        <v>154.16069164950358</v>
      </c>
      <c r="AO116" s="27"/>
      <c r="AP116" s="27"/>
      <c r="AQ116" s="27"/>
      <c r="AR116" s="27"/>
      <c r="AS116" s="27"/>
      <c r="AT116" s="27"/>
      <c r="AU116" s="27"/>
      <c r="AV116" s="27"/>
      <c r="AW116" s="27"/>
      <c r="AX116" s="27"/>
      <c r="AY116" s="27"/>
      <c r="AZ116" s="27"/>
    </row>
    <row r="117" spans="1:52" ht="15.75" customHeight="1" x14ac:dyDescent="0.2">
      <c r="A117" s="27"/>
      <c r="B117" s="69" t="s">
        <v>557</v>
      </c>
      <c r="C117" s="69"/>
      <c r="D117" s="69"/>
      <c r="E117" s="69"/>
      <c r="F117" s="113">
        <v>0</v>
      </c>
      <c r="G117" s="113">
        <v>0</v>
      </c>
      <c r="H117" s="113">
        <v>0</v>
      </c>
      <c r="I117" s="113">
        <v>0</v>
      </c>
      <c r="J117" s="114">
        <v>0</v>
      </c>
      <c r="K117" s="113">
        <v>0</v>
      </c>
      <c r="L117" s="113">
        <v>0</v>
      </c>
      <c r="M117" s="113">
        <v>1</v>
      </c>
      <c r="N117" s="113">
        <v>2</v>
      </c>
      <c r="O117" s="114">
        <v>2</v>
      </c>
      <c r="P117" s="113">
        <v>2</v>
      </c>
      <c r="Q117" s="113">
        <v>5</v>
      </c>
      <c r="R117" s="113">
        <v>7</v>
      </c>
      <c r="S117" s="113">
        <v>11</v>
      </c>
      <c r="T117" s="114">
        <v>11</v>
      </c>
      <c r="U117" s="113">
        <v>17</v>
      </c>
      <c r="V117" s="113">
        <v>18</v>
      </c>
      <c r="W117" s="115">
        <v>15</v>
      </c>
      <c r="X117" s="113">
        <v>15</v>
      </c>
      <c r="Y117" s="114">
        <v>18</v>
      </c>
      <c r="Z117" s="113">
        <v>19</v>
      </c>
      <c r="AA117" s="113">
        <v>20</v>
      </c>
      <c r="AB117" s="113">
        <v>21</v>
      </c>
      <c r="AC117" s="113">
        <v>22</v>
      </c>
      <c r="AD117" s="114">
        <v>22</v>
      </c>
      <c r="AE117" s="113">
        <v>23</v>
      </c>
      <c r="AF117" s="113">
        <v>24</v>
      </c>
      <c r="AG117" s="113">
        <v>25</v>
      </c>
      <c r="AH117" s="113">
        <v>27</v>
      </c>
      <c r="AI117" s="114">
        <v>27</v>
      </c>
      <c r="AJ117" s="113">
        <v>28</v>
      </c>
      <c r="AK117" s="113">
        <v>29</v>
      </c>
      <c r="AL117" s="113">
        <v>31</v>
      </c>
      <c r="AM117" s="113">
        <v>32</v>
      </c>
      <c r="AN117" s="114">
        <v>32</v>
      </c>
      <c r="AO117" s="27"/>
      <c r="AP117" s="27"/>
      <c r="AQ117" s="27"/>
      <c r="AR117" s="27"/>
      <c r="AS117" s="27"/>
      <c r="AT117" s="27"/>
      <c r="AU117" s="27"/>
      <c r="AV117" s="27"/>
      <c r="AW117" s="27"/>
      <c r="AX117" s="27"/>
      <c r="AY117" s="27"/>
      <c r="AZ117" s="27"/>
    </row>
    <row r="118" spans="1:52" ht="15.75" customHeight="1" x14ac:dyDescent="0.2">
      <c r="A118" s="27"/>
      <c r="B118" s="69" t="s">
        <v>558</v>
      </c>
      <c r="C118" s="69"/>
      <c r="D118" s="69"/>
      <c r="E118" s="69"/>
      <c r="F118" s="113">
        <v>0</v>
      </c>
      <c r="G118" s="113">
        <v>0</v>
      </c>
      <c r="H118" s="113">
        <v>0</v>
      </c>
      <c r="I118" s="113">
        <v>0</v>
      </c>
      <c r="J118" s="114">
        <v>0</v>
      </c>
      <c r="K118" s="113">
        <v>1</v>
      </c>
      <c r="L118" s="113">
        <v>2</v>
      </c>
      <c r="M118" s="113">
        <v>3</v>
      </c>
      <c r="N118" s="113">
        <v>5</v>
      </c>
      <c r="O118" s="114">
        <v>5</v>
      </c>
      <c r="P118" s="113">
        <v>10</v>
      </c>
      <c r="Q118" s="113">
        <v>19</v>
      </c>
      <c r="R118" s="113">
        <v>18</v>
      </c>
      <c r="S118" s="113">
        <v>35</v>
      </c>
      <c r="T118" s="114">
        <v>35</v>
      </c>
      <c r="U118" s="113">
        <v>43</v>
      </c>
      <c r="V118" s="113">
        <v>45</v>
      </c>
      <c r="W118" s="115">
        <v>45</v>
      </c>
      <c r="X118" s="113">
        <v>46</v>
      </c>
      <c r="Y118" s="114">
        <v>46</v>
      </c>
      <c r="Z118" s="113">
        <v>46</v>
      </c>
      <c r="AA118" s="113">
        <v>47.021827687042403</v>
      </c>
      <c r="AB118" s="113">
        <v>50.237964401948346</v>
      </c>
      <c r="AC118" s="113">
        <v>63.95265731749916</v>
      </c>
      <c r="AD118" s="114">
        <v>63.95265731749916</v>
      </c>
      <c r="AE118" s="113">
        <v>63.95265731749916</v>
      </c>
      <c r="AF118" s="113">
        <v>74.740596306530151</v>
      </c>
      <c r="AG118" s="113">
        <v>74.740596306530151</v>
      </c>
      <c r="AH118" s="113">
        <v>84.047319444290423</v>
      </c>
      <c r="AI118" s="114">
        <v>84.047319444290423</v>
      </c>
      <c r="AJ118" s="113">
        <v>84.047319444290423</v>
      </c>
      <c r="AK118" s="113">
        <v>87.424933114689836</v>
      </c>
      <c r="AL118" s="113">
        <v>103.59613214903334</v>
      </c>
      <c r="AM118" s="113">
        <v>122.16069164950356</v>
      </c>
      <c r="AN118" s="114">
        <v>122.16069164950356</v>
      </c>
      <c r="AO118" s="27"/>
      <c r="AP118" s="27"/>
      <c r="AQ118" s="27"/>
      <c r="AR118" s="27"/>
      <c r="AS118" s="27"/>
      <c r="AT118" s="27"/>
      <c r="AU118" s="27"/>
      <c r="AV118" s="27"/>
      <c r="AW118" s="27"/>
      <c r="AX118" s="27"/>
      <c r="AY118" s="27"/>
      <c r="AZ118" s="27"/>
    </row>
    <row r="119" spans="1:52" ht="15.75" customHeight="1" x14ac:dyDescent="0.2">
      <c r="A119" s="27"/>
      <c r="B119" s="116" t="s">
        <v>559</v>
      </c>
      <c r="C119" s="116"/>
      <c r="D119" s="116"/>
      <c r="E119" s="116"/>
      <c r="F119" s="117">
        <f t="shared" ref="F119:AN119" si="33">+SUM(F120:F122)</f>
        <v>1</v>
      </c>
      <c r="G119" s="117">
        <f t="shared" si="33"/>
        <v>1</v>
      </c>
      <c r="H119" s="117">
        <f t="shared" si="33"/>
        <v>2</v>
      </c>
      <c r="I119" s="117">
        <f t="shared" si="33"/>
        <v>3</v>
      </c>
      <c r="J119" s="118">
        <f t="shared" si="33"/>
        <v>3</v>
      </c>
      <c r="K119" s="117">
        <f t="shared" si="33"/>
        <v>3</v>
      </c>
      <c r="L119" s="117">
        <f t="shared" si="33"/>
        <v>4</v>
      </c>
      <c r="M119" s="117">
        <f t="shared" si="33"/>
        <v>4</v>
      </c>
      <c r="N119" s="117">
        <f t="shared" si="33"/>
        <v>4</v>
      </c>
      <c r="O119" s="118">
        <f t="shared" si="33"/>
        <v>4</v>
      </c>
      <c r="P119" s="117">
        <f t="shared" si="33"/>
        <v>8</v>
      </c>
      <c r="Q119" s="117">
        <f t="shared" si="33"/>
        <v>10</v>
      </c>
      <c r="R119" s="117">
        <f t="shared" si="33"/>
        <v>11</v>
      </c>
      <c r="S119" s="117">
        <f t="shared" si="33"/>
        <v>16</v>
      </c>
      <c r="T119" s="118">
        <f t="shared" si="33"/>
        <v>16</v>
      </c>
      <c r="U119" s="117">
        <f t="shared" si="33"/>
        <v>19</v>
      </c>
      <c r="V119" s="117">
        <f t="shared" si="33"/>
        <v>22</v>
      </c>
      <c r="W119" s="119">
        <f t="shared" si="33"/>
        <v>22</v>
      </c>
      <c r="X119" s="117">
        <f t="shared" si="33"/>
        <v>22</v>
      </c>
      <c r="Y119" s="118">
        <f t="shared" si="33"/>
        <v>21</v>
      </c>
      <c r="Z119" s="117">
        <f t="shared" si="33"/>
        <v>28</v>
      </c>
      <c r="AA119" s="117">
        <f t="shared" si="33"/>
        <v>28</v>
      </c>
      <c r="AB119" s="117">
        <f t="shared" si="33"/>
        <v>28</v>
      </c>
      <c r="AC119" s="117">
        <f t="shared" si="33"/>
        <v>28</v>
      </c>
      <c r="AD119" s="118">
        <f t="shared" si="33"/>
        <v>28</v>
      </c>
      <c r="AE119" s="117">
        <f t="shared" si="33"/>
        <v>34</v>
      </c>
      <c r="AF119" s="117">
        <f t="shared" si="33"/>
        <v>34</v>
      </c>
      <c r="AG119" s="117">
        <f t="shared" si="33"/>
        <v>34</v>
      </c>
      <c r="AH119" s="117">
        <f t="shared" si="33"/>
        <v>34</v>
      </c>
      <c r="AI119" s="118">
        <f t="shared" si="33"/>
        <v>34</v>
      </c>
      <c r="AJ119" s="117">
        <f t="shared" si="33"/>
        <v>40</v>
      </c>
      <c r="AK119" s="117">
        <f t="shared" si="33"/>
        <v>40</v>
      </c>
      <c r="AL119" s="117">
        <f t="shared" si="33"/>
        <v>40</v>
      </c>
      <c r="AM119" s="117">
        <f t="shared" si="33"/>
        <v>40</v>
      </c>
      <c r="AN119" s="118">
        <f t="shared" si="33"/>
        <v>40</v>
      </c>
      <c r="AO119" s="27"/>
      <c r="AP119" s="27"/>
      <c r="AQ119" s="27"/>
      <c r="AR119" s="27"/>
      <c r="AS119" s="27"/>
      <c r="AT119" s="27"/>
      <c r="AU119" s="27"/>
      <c r="AV119" s="27"/>
      <c r="AW119" s="27"/>
      <c r="AX119" s="27"/>
      <c r="AY119" s="27"/>
      <c r="AZ119" s="27"/>
    </row>
    <row r="120" spans="1:52" ht="15.75" customHeight="1" x14ac:dyDescent="0.2">
      <c r="A120" s="27"/>
      <c r="B120" s="69" t="s">
        <v>560</v>
      </c>
      <c r="C120" s="69"/>
      <c r="D120" s="69"/>
      <c r="E120" s="69"/>
      <c r="F120" s="113">
        <v>1</v>
      </c>
      <c r="G120" s="113">
        <v>1</v>
      </c>
      <c r="H120" s="113">
        <v>2</v>
      </c>
      <c r="I120" s="113">
        <v>3</v>
      </c>
      <c r="J120" s="114">
        <v>3</v>
      </c>
      <c r="K120" s="113">
        <v>3</v>
      </c>
      <c r="L120" s="113">
        <v>4</v>
      </c>
      <c r="M120" s="113">
        <v>4</v>
      </c>
      <c r="N120" s="113">
        <v>4</v>
      </c>
      <c r="O120" s="114">
        <v>4</v>
      </c>
      <c r="P120" s="113">
        <v>7</v>
      </c>
      <c r="Q120" s="113">
        <v>7</v>
      </c>
      <c r="R120" s="113">
        <v>7</v>
      </c>
      <c r="S120" s="113">
        <v>8</v>
      </c>
      <c r="T120" s="114">
        <v>8</v>
      </c>
      <c r="U120" s="113">
        <v>9</v>
      </c>
      <c r="V120" s="113">
        <v>10</v>
      </c>
      <c r="W120" s="115">
        <v>10</v>
      </c>
      <c r="X120" s="113">
        <v>10</v>
      </c>
      <c r="Y120" s="114">
        <v>10</v>
      </c>
      <c r="Z120" s="113">
        <v>11</v>
      </c>
      <c r="AA120" s="113">
        <v>11</v>
      </c>
      <c r="AB120" s="113">
        <v>11</v>
      </c>
      <c r="AC120" s="113">
        <v>11</v>
      </c>
      <c r="AD120" s="114">
        <v>11</v>
      </c>
      <c r="AE120" s="113">
        <v>11</v>
      </c>
      <c r="AF120" s="113">
        <v>11</v>
      </c>
      <c r="AG120" s="113">
        <v>11</v>
      </c>
      <c r="AH120" s="113">
        <v>11</v>
      </c>
      <c r="AI120" s="114">
        <v>11</v>
      </c>
      <c r="AJ120" s="113">
        <v>11</v>
      </c>
      <c r="AK120" s="113">
        <v>11</v>
      </c>
      <c r="AL120" s="113">
        <v>11</v>
      </c>
      <c r="AM120" s="113">
        <v>11</v>
      </c>
      <c r="AN120" s="114">
        <v>11</v>
      </c>
      <c r="AO120" s="27"/>
      <c r="AP120" s="27"/>
      <c r="AQ120" s="27"/>
      <c r="AR120" s="27"/>
      <c r="AS120" s="27"/>
      <c r="AT120" s="27"/>
      <c r="AU120" s="27"/>
      <c r="AV120" s="27"/>
      <c r="AW120" s="27"/>
      <c r="AX120" s="27"/>
      <c r="AY120" s="27"/>
      <c r="AZ120" s="27"/>
    </row>
    <row r="121" spans="1:52" ht="15.75" customHeight="1" x14ac:dyDescent="0.2">
      <c r="A121" s="27"/>
      <c r="B121" s="69" t="s">
        <v>561</v>
      </c>
      <c r="C121" s="69"/>
      <c r="D121" s="69"/>
      <c r="E121" s="69"/>
      <c r="F121" s="113">
        <v>0</v>
      </c>
      <c r="G121" s="113">
        <v>0</v>
      </c>
      <c r="H121" s="113">
        <v>0</v>
      </c>
      <c r="I121" s="113">
        <v>0</v>
      </c>
      <c r="J121" s="114">
        <v>0</v>
      </c>
      <c r="K121" s="113">
        <v>0</v>
      </c>
      <c r="L121" s="113">
        <v>0</v>
      </c>
      <c r="M121" s="113">
        <v>0</v>
      </c>
      <c r="N121" s="113">
        <v>0</v>
      </c>
      <c r="O121" s="114">
        <v>0</v>
      </c>
      <c r="P121" s="113">
        <v>0</v>
      </c>
      <c r="Q121" s="113">
        <v>0</v>
      </c>
      <c r="R121" s="113">
        <v>1</v>
      </c>
      <c r="S121" s="113">
        <v>1</v>
      </c>
      <c r="T121" s="114">
        <v>1</v>
      </c>
      <c r="U121" s="113">
        <v>3</v>
      </c>
      <c r="V121" s="113">
        <v>4</v>
      </c>
      <c r="W121" s="115">
        <v>5</v>
      </c>
      <c r="X121" s="113">
        <v>5</v>
      </c>
      <c r="Y121" s="114">
        <v>4</v>
      </c>
      <c r="Z121" s="113">
        <v>7</v>
      </c>
      <c r="AA121" s="113">
        <v>7</v>
      </c>
      <c r="AB121" s="113">
        <v>7</v>
      </c>
      <c r="AC121" s="113">
        <v>7</v>
      </c>
      <c r="AD121" s="114">
        <v>7</v>
      </c>
      <c r="AE121" s="113">
        <v>10</v>
      </c>
      <c r="AF121" s="113">
        <v>10</v>
      </c>
      <c r="AG121" s="113">
        <v>10</v>
      </c>
      <c r="AH121" s="113">
        <v>10</v>
      </c>
      <c r="AI121" s="114">
        <v>10</v>
      </c>
      <c r="AJ121" s="113">
        <v>13</v>
      </c>
      <c r="AK121" s="113">
        <v>13</v>
      </c>
      <c r="AL121" s="113">
        <v>13</v>
      </c>
      <c r="AM121" s="113">
        <v>13</v>
      </c>
      <c r="AN121" s="114">
        <v>13</v>
      </c>
      <c r="AO121" s="27"/>
      <c r="AP121" s="27"/>
      <c r="AQ121" s="27"/>
      <c r="AR121" s="27"/>
      <c r="AS121" s="27"/>
      <c r="AT121" s="27"/>
      <c r="AU121" s="27"/>
      <c r="AV121" s="27"/>
      <c r="AW121" s="27"/>
      <c r="AX121" s="27"/>
      <c r="AY121" s="27"/>
      <c r="AZ121" s="27"/>
    </row>
    <row r="122" spans="1:52" ht="15.75" customHeight="1" x14ac:dyDescent="0.2">
      <c r="A122" s="27"/>
      <c r="B122" s="69" t="s">
        <v>562</v>
      </c>
      <c r="C122" s="69"/>
      <c r="D122" s="69"/>
      <c r="E122" s="69"/>
      <c r="F122" s="113">
        <v>0</v>
      </c>
      <c r="G122" s="113">
        <v>0</v>
      </c>
      <c r="H122" s="113">
        <v>0</v>
      </c>
      <c r="I122" s="113">
        <v>0</v>
      </c>
      <c r="J122" s="114">
        <v>0</v>
      </c>
      <c r="K122" s="113">
        <v>0</v>
      </c>
      <c r="L122" s="113">
        <v>0</v>
      </c>
      <c r="M122" s="113">
        <v>0</v>
      </c>
      <c r="N122" s="113">
        <v>0</v>
      </c>
      <c r="O122" s="114">
        <v>0</v>
      </c>
      <c r="P122" s="113">
        <v>1</v>
      </c>
      <c r="Q122" s="113">
        <v>3</v>
      </c>
      <c r="R122" s="113">
        <v>3</v>
      </c>
      <c r="S122" s="113">
        <v>7</v>
      </c>
      <c r="T122" s="114">
        <v>7</v>
      </c>
      <c r="U122" s="113">
        <v>7</v>
      </c>
      <c r="V122" s="113">
        <v>8</v>
      </c>
      <c r="W122" s="115">
        <v>7</v>
      </c>
      <c r="X122" s="113">
        <v>7</v>
      </c>
      <c r="Y122" s="114">
        <v>7</v>
      </c>
      <c r="Z122" s="113">
        <v>10</v>
      </c>
      <c r="AA122" s="113">
        <v>10</v>
      </c>
      <c r="AB122" s="113">
        <v>10</v>
      </c>
      <c r="AC122" s="113">
        <v>10</v>
      </c>
      <c r="AD122" s="114">
        <v>10</v>
      </c>
      <c r="AE122" s="113">
        <v>13</v>
      </c>
      <c r="AF122" s="113">
        <v>13</v>
      </c>
      <c r="AG122" s="113">
        <v>13</v>
      </c>
      <c r="AH122" s="113">
        <v>13</v>
      </c>
      <c r="AI122" s="114">
        <v>13</v>
      </c>
      <c r="AJ122" s="113">
        <v>16</v>
      </c>
      <c r="AK122" s="113">
        <v>16</v>
      </c>
      <c r="AL122" s="113">
        <v>16</v>
      </c>
      <c r="AM122" s="113">
        <v>16</v>
      </c>
      <c r="AN122" s="114">
        <v>16</v>
      </c>
      <c r="AO122" s="27"/>
      <c r="AP122" s="27"/>
      <c r="AQ122" s="27"/>
      <c r="AR122" s="27"/>
      <c r="AS122" s="27"/>
      <c r="AT122" s="27"/>
      <c r="AU122" s="27"/>
      <c r="AV122" s="27"/>
      <c r="AW122" s="27"/>
      <c r="AX122" s="27"/>
      <c r="AY122" s="27"/>
      <c r="AZ122" s="27"/>
    </row>
    <row r="123" spans="1:52" ht="15.75" customHeight="1" thickBot="1" x14ac:dyDescent="0.25">
      <c r="A123" s="27"/>
      <c r="B123" s="120" t="s">
        <v>6</v>
      </c>
      <c r="C123" s="120"/>
      <c r="D123" s="120"/>
      <c r="E123" s="120"/>
      <c r="F123" s="121">
        <f t="shared" ref="F123:AN123" si="34">+F108+F112+F116+F119</f>
        <v>1</v>
      </c>
      <c r="G123" s="121">
        <f t="shared" si="34"/>
        <v>1</v>
      </c>
      <c r="H123" s="121">
        <f t="shared" si="34"/>
        <v>5</v>
      </c>
      <c r="I123" s="121">
        <f t="shared" si="34"/>
        <v>9</v>
      </c>
      <c r="J123" s="122">
        <f t="shared" si="34"/>
        <v>9</v>
      </c>
      <c r="K123" s="121">
        <f t="shared" si="34"/>
        <v>10</v>
      </c>
      <c r="L123" s="121">
        <f t="shared" si="34"/>
        <v>15</v>
      </c>
      <c r="M123" s="121">
        <f t="shared" si="34"/>
        <v>21</v>
      </c>
      <c r="N123" s="121">
        <f t="shared" si="34"/>
        <v>29</v>
      </c>
      <c r="O123" s="122">
        <f t="shared" si="34"/>
        <v>29</v>
      </c>
      <c r="P123" s="121">
        <f t="shared" si="34"/>
        <v>45</v>
      </c>
      <c r="Q123" s="121">
        <f t="shared" si="34"/>
        <v>80</v>
      </c>
      <c r="R123" s="121">
        <f t="shared" si="34"/>
        <v>105</v>
      </c>
      <c r="S123" s="121">
        <f t="shared" si="34"/>
        <v>157</v>
      </c>
      <c r="T123" s="122">
        <f t="shared" si="34"/>
        <v>157</v>
      </c>
      <c r="U123" s="121">
        <f t="shared" si="34"/>
        <v>193</v>
      </c>
      <c r="V123" s="121">
        <f t="shared" si="34"/>
        <v>212</v>
      </c>
      <c r="W123" s="123">
        <f t="shared" si="34"/>
        <v>201</v>
      </c>
      <c r="X123" s="121">
        <f t="shared" si="34"/>
        <v>204</v>
      </c>
      <c r="Y123" s="122">
        <f t="shared" si="34"/>
        <v>209.5</v>
      </c>
      <c r="Z123" s="121">
        <f t="shared" si="34"/>
        <v>222.5</v>
      </c>
      <c r="AA123" s="121">
        <f t="shared" si="34"/>
        <v>232.27182768704239</v>
      </c>
      <c r="AB123" s="121">
        <f t="shared" si="34"/>
        <v>242.48796440194835</v>
      </c>
      <c r="AC123" s="121">
        <f t="shared" si="34"/>
        <v>268.95265731749919</v>
      </c>
      <c r="AD123" s="122">
        <f t="shared" si="34"/>
        <v>268.95265731749919</v>
      </c>
      <c r="AE123" s="121">
        <f t="shared" si="34"/>
        <v>287.70265731749919</v>
      </c>
      <c r="AF123" s="121">
        <f t="shared" si="34"/>
        <v>312.49059630653016</v>
      </c>
      <c r="AG123" s="121">
        <f t="shared" si="34"/>
        <v>328.24059630653016</v>
      </c>
      <c r="AH123" s="121">
        <f t="shared" si="34"/>
        <v>354.54731944429045</v>
      </c>
      <c r="AI123" s="122">
        <f t="shared" si="34"/>
        <v>354.54731944429045</v>
      </c>
      <c r="AJ123" s="121">
        <f t="shared" si="34"/>
        <v>375.29731944429045</v>
      </c>
      <c r="AK123" s="121">
        <f t="shared" si="34"/>
        <v>400.42493311468985</v>
      </c>
      <c r="AL123" s="121">
        <f t="shared" si="34"/>
        <v>430.59613214903334</v>
      </c>
      <c r="AM123" s="121">
        <f t="shared" si="34"/>
        <v>469.91069164950358</v>
      </c>
      <c r="AN123" s="122">
        <f t="shared" si="34"/>
        <v>469.91069164950358</v>
      </c>
      <c r="AO123" s="27"/>
      <c r="AP123" s="27"/>
      <c r="AQ123" s="27"/>
      <c r="AR123" s="27"/>
      <c r="AS123" s="27"/>
      <c r="AT123" s="27"/>
      <c r="AU123" s="27"/>
      <c r="AV123" s="27"/>
      <c r="AW123" s="27"/>
      <c r="AX123" s="27"/>
      <c r="AY123" s="27"/>
      <c r="AZ123" s="27"/>
    </row>
    <row r="124" spans="1:52" ht="15.75" customHeight="1" thickTop="1" x14ac:dyDescent="0.2">
      <c r="A124" s="27"/>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c r="AT124" s="27"/>
      <c r="AU124" s="27"/>
      <c r="AV124" s="27"/>
      <c r="AW124" s="27"/>
      <c r="AX124" s="27"/>
      <c r="AY124" s="27"/>
      <c r="AZ124" s="27"/>
    </row>
    <row r="125" spans="1:52" ht="11.25" customHeight="1" x14ac:dyDescent="0.2">
      <c r="A125" s="27"/>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c r="AT125" s="27"/>
      <c r="AU125" s="27"/>
      <c r="AV125" s="27"/>
      <c r="AW125" s="27"/>
      <c r="AX125" s="27"/>
      <c r="AY125" s="27"/>
      <c r="AZ125" s="27"/>
    </row>
    <row r="126" spans="1:52" ht="11.25" customHeight="1" x14ac:dyDescent="0.2">
      <c r="A126" s="27"/>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c r="AT126" s="27"/>
      <c r="AU126" s="27"/>
      <c r="AV126" s="27"/>
      <c r="AW126" s="27"/>
      <c r="AX126" s="27"/>
      <c r="AY126" s="27"/>
      <c r="AZ126" s="27"/>
    </row>
    <row r="127" spans="1:52" ht="11.25" customHeight="1" x14ac:dyDescent="0.2">
      <c r="A127" s="27"/>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c r="AT127" s="27"/>
      <c r="AU127" s="27"/>
      <c r="AV127" s="27"/>
      <c r="AW127" s="27"/>
      <c r="AX127" s="27"/>
      <c r="AY127" s="27"/>
      <c r="AZ127" s="27"/>
    </row>
    <row r="128" spans="1:52" ht="11.25" customHeight="1" x14ac:dyDescent="0.2">
      <c r="A128" s="27"/>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c r="AV128" s="27"/>
      <c r="AW128" s="27"/>
      <c r="AX128" s="27"/>
      <c r="AY128" s="27"/>
      <c r="AZ128" s="27"/>
    </row>
    <row r="129" spans="1:52" ht="11.25" customHeight="1" x14ac:dyDescent="0.2">
      <c r="A129" s="27"/>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c r="AT129" s="27"/>
      <c r="AU129" s="27"/>
      <c r="AV129" s="27"/>
      <c r="AW129" s="27"/>
      <c r="AX129" s="27"/>
      <c r="AY129" s="27"/>
      <c r="AZ129" s="27"/>
    </row>
    <row r="130" spans="1:52" ht="11.25" customHeight="1" x14ac:dyDescent="0.2">
      <c r="A130" s="27"/>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c r="AT130" s="27"/>
      <c r="AU130" s="27"/>
      <c r="AV130" s="27"/>
      <c r="AW130" s="27"/>
      <c r="AX130" s="27"/>
      <c r="AY130" s="27"/>
      <c r="AZ130" s="27"/>
    </row>
    <row r="131" spans="1:52" ht="11.25" customHeight="1" x14ac:dyDescent="0.2">
      <c r="A131" s="27"/>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c r="AT131" s="27"/>
      <c r="AU131" s="27"/>
      <c r="AV131" s="27"/>
      <c r="AW131" s="27"/>
      <c r="AX131" s="27"/>
      <c r="AY131" s="27"/>
      <c r="AZ131" s="27"/>
    </row>
    <row r="132" spans="1:52" ht="11.25" customHeight="1" x14ac:dyDescent="0.2">
      <c r="A132" s="27"/>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c r="AV132" s="27"/>
      <c r="AW132" s="27"/>
      <c r="AX132" s="27"/>
      <c r="AY132" s="27"/>
      <c r="AZ132" s="27"/>
    </row>
    <row r="133" spans="1:52" ht="11.25" customHeight="1" x14ac:dyDescent="0.2">
      <c r="A133" s="27"/>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c r="AV133" s="27"/>
      <c r="AW133" s="27"/>
      <c r="AX133" s="27"/>
      <c r="AY133" s="27"/>
      <c r="AZ133" s="27"/>
    </row>
    <row r="134" spans="1:52" ht="11.25" customHeight="1" x14ac:dyDescent="0.2">
      <c r="A134" s="27"/>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c r="AV134" s="27"/>
      <c r="AW134" s="27"/>
      <c r="AX134" s="27"/>
      <c r="AY134" s="27"/>
      <c r="AZ134" s="27"/>
    </row>
    <row r="135" spans="1:52" ht="11.25" customHeight="1" x14ac:dyDescent="0.2">
      <c r="A135" s="27"/>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c r="AV135" s="27"/>
      <c r="AW135" s="27"/>
      <c r="AX135" s="27"/>
      <c r="AY135" s="27"/>
      <c r="AZ135" s="27"/>
    </row>
    <row r="136" spans="1:52" ht="11.25" customHeight="1" x14ac:dyDescent="0.2">
      <c r="A136" s="27"/>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c r="AV136" s="27"/>
      <c r="AW136" s="27"/>
      <c r="AX136" s="27"/>
      <c r="AY136" s="27"/>
      <c r="AZ136" s="27"/>
    </row>
    <row r="137" spans="1:52" ht="11.25" customHeight="1" x14ac:dyDescent="0.2">
      <c r="A137" s="27"/>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row>
    <row r="138" spans="1:52" ht="11.25" customHeight="1" x14ac:dyDescent="0.2">
      <c r="A138" s="27"/>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c r="AV138" s="27"/>
      <c r="AW138" s="27"/>
      <c r="AX138" s="27"/>
      <c r="AY138" s="27"/>
      <c r="AZ138" s="27"/>
    </row>
    <row r="139" spans="1:52" ht="11.25" customHeight="1" x14ac:dyDescent="0.2">
      <c r="A139" s="27"/>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c r="AT139" s="27"/>
      <c r="AU139" s="27"/>
      <c r="AV139" s="27"/>
      <c r="AW139" s="27"/>
      <c r="AX139" s="27"/>
      <c r="AY139" s="27"/>
      <c r="AZ139" s="27"/>
    </row>
    <row r="140" spans="1:52" ht="11.25" customHeight="1" x14ac:dyDescent="0.2">
      <c r="A140" s="27"/>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c r="AV140" s="27"/>
      <c r="AW140" s="27"/>
      <c r="AX140" s="27"/>
      <c r="AY140" s="27"/>
      <c r="AZ140" s="27"/>
    </row>
    <row r="141" spans="1:52" ht="11.25" customHeight="1" x14ac:dyDescent="0.2">
      <c r="A141" s="27"/>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c r="AV141" s="27"/>
      <c r="AW141" s="27"/>
      <c r="AX141" s="27"/>
      <c r="AY141" s="27"/>
      <c r="AZ141" s="27"/>
    </row>
    <row r="142" spans="1:52" ht="11.25" customHeight="1" x14ac:dyDescent="0.2">
      <c r="A142" s="27"/>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c r="AV142" s="27"/>
      <c r="AW142" s="27"/>
      <c r="AX142" s="27"/>
      <c r="AY142" s="27"/>
      <c r="AZ142" s="27"/>
    </row>
    <row r="143" spans="1:52" ht="11.25" customHeight="1" x14ac:dyDescent="0.2">
      <c r="A143" s="27"/>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row>
    <row r="144" spans="1:52" ht="11.25" customHeight="1" x14ac:dyDescent="0.2">
      <c r="A144" s="27"/>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c r="AT144" s="27"/>
      <c r="AU144" s="27"/>
      <c r="AV144" s="27"/>
      <c r="AW144" s="27"/>
      <c r="AX144" s="27"/>
      <c r="AY144" s="27"/>
      <c r="AZ144" s="27"/>
    </row>
    <row r="145" spans="1:52" ht="11.25" customHeight="1" x14ac:dyDescent="0.2">
      <c r="A145" s="27"/>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c r="AT145" s="27"/>
      <c r="AU145" s="27"/>
      <c r="AV145" s="27"/>
      <c r="AW145" s="27"/>
      <c r="AX145" s="27"/>
      <c r="AY145" s="27"/>
      <c r="AZ145" s="27"/>
    </row>
    <row r="146" spans="1:52" ht="11.25" customHeight="1" x14ac:dyDescent="0.2">
      <c r="A146" s="27"/>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c r="AT146" s="27"/>
      <c r="AU146" s="27"/>
      <c r="AV146" s="27"/>
      <c r="AW146" s="27"/>
      <c r="AX146" s="27"/>
      <c r="AY146" s="27"/>
      <c r="AZ146" s="27"/>
    </row>
    <row r="147" spans="1:52" ht="11.25" customHeight="1" x14ac:dyDescent="0.2">
      <c r="A147" s="27"/>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c r="AT147" s="27"/>
      <c r="AU147" s="27"/>
      <c r="AV147" s="27"/>
      <c r="AW147" s="27"/>
      <c r="AX147" s="27"/>
      <c r="AY147" s="27"/>
      <c r="AZ147" s="27"/>
    </row>
    <row r="148" spans="1:52" ht="11.25" customHeight="1" x14ac:dyDescent="0.2">
      <c r="A148" s="27"/>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c r="AT148" s="27"/>
      <c r="AU148" s="27"/>
      <c r="AV148" s="27"/>
      <c r="AW148" s="27"/>
      <c r="AX148" s="27"/>
      <c r="AY148" s="27"/>
      <c r="AZ148" s="27"/>
    </row>
    <row r="149" spans="1:52" ht="11.25" customHeight="1" x14ac:dyDescent="0.2">
      <c r="A149" s="27"/>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c r="AT149" s="27"/>
      <c r="AU149" s="27"/>
      <c r="AV149" s="27"/>
      <c r="AW149" s="27"/>
      <c r="AX149" s="27"/>
      <c r="AY149" s="27"/>
      <c r="AZ149" s="27"/>
    </row>
    <row r="150" spans="1:52" ht="11.25" customHeight="1" x14ac:dyDescent="0.2">
      <c r="A150" s="27"/>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c r="AT150" s="27"/>
      <c r="AU150" s="27"/>
      <c r="AV150" s="27"/>
      <c r="AW150" s="27"/>
      <c r="AX150" s="27"/>
      <c r="AY150" s="27"/>
      <c r="AZ150" s="27"/>
    </row>
    <row r="151" spans="1:52" ht="11.25" customHeight="1" x14ac:dyDescent="0.2">
      <c r="A151" s="27"/>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c r="AT151" s="27"/>
      <c r="AU151" s="27"/>
      <c r="AV151" s="27"/>
      <c r="AW151" s="27"/>
      <c r="AX151" s="27"/>
      <c r="AY151" s="27"/>
      <c r="AZ151" s="27"/>
    </row>
    <row r="152" spans="1:52" ht="11.25" customHeight="1" x14ac:dyDescent="0.2">
      <c r="A152" s="27"/>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c r="AT152" s="27"/>
      <c r="AU152" s="27"/>
      <c r="AV152" s="27"/>
      <c r="AW152" s="27"/>
      <c r="AX152" s="27"/>
      <c r="AY152" s="27"/>
      <c r="AZ152" s="27"/>
    </row>
    <row r="153" spans="1:52" ht="11.25" customHeight="1" x14ac:dyDescent="0.2">
      <c r="A153" s="27"/>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row>
    <row r="154" spans="1:52" ht="11.25" customHeight="1" x14ac:dyDescent="0.2">
      <c r="A154" s="27"/>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c r="AT154" s="27"/>
      <c r="AU154" s="27"/>
      <c r="AV154" s="27"/>
      <c r="AW154" s="27"/>
      <c r="AX154" s="27"/>
      <c r="AY154" s="27"/>
      <c r="AZ154" s="27"/>
    </row>
    <row r="155" spans="1:52" ht="11.25" customHeight="1" x14ac:dyDescent="0.2">
      <c r="A155" s="27"/>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c r="AT155" s="27"/>
      <c r="AU155" s="27"/>
      <c r="AV155" s="27"/>
      <c r="AW155" s="27"/>
      <c r="AX155" s="27"/>
      <c r="AY155" s="27"/>
      <c r="AZ155" s="27"/>
    </row>
    <row r="156" spans="1:52" ht="11.25" customHeight="1" x14ac:dyDescent="0.2">
      <c r="A156" s="27"/>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c r="AS156" s="27"/>
      <c r="AT156" s="27"/>
      <c r="AU156" s="27"/>
      <c r="AV156" s="27"/>
      <c r="AW156" s="27"/>
      <c r="AX156" s="27"/>
      <c r="AY156" s="27"/>
      <c r="AZ156" s="27"/>
    </row>
    <row r="157" spans="1:52" ht="11.25" customHeight="1" x14ac:dyDescent="0.2">
      <c r="A157" s="27"/>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c r="AS157" s="27"/>
      <c r="AT157" s="27"/>
      <c r="AU157" s="27"/>
      <c r="AV157" s="27"/>
      <c r="AW157" s="27"/>
      <c r="AX157" s="27"/>
      <c r="AY157" s="27"/>
      <c r="AZ157" s="27"/>
    </row>
    <row r="158" spans="1:52" ht="11.25" customHeight="1" x14ac:dyDescent="0.2">
      <c r="A158" s="27"/>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c r="AT158" s="27"/>
      <c r="AU158" s="27"/>
      <c r="AV158" s="27"/>
      <c r="AW158" s="27"/>
      <c r="AX158" s="27"/>
      <c r="AY158" s="27"/>
      <c r="AZ158" s="27"/>
    </row>
    <row r="159" spans="1:52" ht="11.25" customHeight="1" x14ac:dyDescent="0.2">
      <c r="A159" s="27"/>
      <c r="B159" s="27"/>
      <c r="C159" s="27"/>
      <c r="D159" s="27"/>
      <c r="E159" s="27"/>
      <c r="F159" s="27"/>
      <c r="G159" s="27"/>
      <c r="H159" s="27"/>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c r="AS159" s="27"/>
      <c r="AT159" s="27"/>
      <c r="AU159" s="27"/>
      <c r="AV159" s="27"/>
      <c r="AW159" s="27"/>
      <c r="AX159" s="27"/>
      <c r="AY159" s="27"/>
      <c r="AZ159" s="27"/>
    </row>
    <row r="160" spans="1:52" ht="11.25" customHeight="1" x14ac:dyDescent="0.2">
      <c r="A160" s="27"/>
      <c r="B160" s="27"/>
      <c r="C160" s="27"/>
      <c r="D160" s="27"/>
      <c r="E160" s="27"/>
      <c r="F160" s="27"/>
      <c r="G160" s="27"/>
      <c r="H160" s="27"/>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c r="AS160" s="27"/>
      <c r="AT160" s="27"/>
      <c r="AU160" s="27"/>
      <c r="AV160" s="27"/>
      <c r="AW160" s="27"/>
      <c r="AX160" s="27"/>
      <c r="AY160" s="27"/>
      <c r="AZ160" s="27"/>
    </row>
    <row r="161" spans="1:52" ht="11.25" customHeight="1" x14ac:dyDescent="0.2">
      <c r="A161" s="27"/>
      <c r="B161" s="27"/>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row>
    <row r="162" spans="1:52" ht="11.25" customHeight="1" x14ac:dyDescent="0.2">
      <c r="A162" s="27"/>
      <c r="B162" s="27"/>
      <c r="C162" s="27"/>
      <c r="D162" s="27"/>
      <c r="E162" s="27"/>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c r="AZ162" s="27"/>
    </row>
    <row r="163" spans="1:52" ht="11.25" customHeight="1" x14ac:dyDescent="0.2">
      <c r="A163" s="27"/>
      <c r="B163" s="27"/>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c r="AY163" s="27"/>
      <c r="AZ163" s="27"/>
    </row>
    <row r="164" spans="1:52" ht="11.25" customHeight="1" x14ac:dyDescent="0.2">
      <c r="A164" s="27"/>
      <c r="B164" s="27"/>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c r="AT164" s="27"/>
      <c r="AU164" s="27"/>
      <c r="AV164" s="27"/>
      <c r="AW164" s="27"/>
      <c r="AX164" s="27"/>
      <c r="AY164" s="27"/>
      <c r="AZ164" s="27"/>
    </row>
    <row r="165" spans="1:52" ht="11.25" customHeight="1" x14ac:dyDescent="0.2">
      <c r="A165" s="27"/>
      <c r="B165" s="27"/>
      <c r="C165" s="27"/>
      <c r="D165" s="27"/>
      <c r="E165" s="27"/>
      <c r="F165" s="27"/>
      <c r="G165" s="27"/>
      <c r="H165" s="27"/>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c r="AT165" s="27"/>
      <c r="AU165" s="27"/>
      <c r="AV165" s="27"/>
      <c r="AW165" s="27"/>
      <c r="AX165" s="27"/>
      <c r="AY165" s="27"/>
      <c r="AZ165" s="27"/>
    </row>
    <row r="166" spans="1:52" ht="11.25" customHeight="1" x14ac:dyDescent="0.2">
      <c r="A166" s="27"/>
      <c r="B166" s="27"/>
      <c r="C166" s="27"/>
      <c r="D166" s="27"/>
      <c r="E166" s="27"/>
      <c r="F166" s="27"/>
      <c r="G166" s="27"/>
      <c r="H166" s="27"/>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c r="AT166" s="27"/>
      <c r="AU166" s="27"/>
      <c r="AV166" s="27"/>
      <c r="AW166" s="27"/>
      <c r="AX166" s="27"/>
      <c r="AY166" s="27"/>
      <c r="AZ166" s="27"/>
    </row>
    <row r="167" spans="1:52" ht="11.25" customHeight="1" x14ac:dyDescent="0.2">
      <c r="A167" s="27"/>
      <c r="B167" s="27"/>
      <c r="C167" s="27"/>
      <c r="D167" s="27"/>
      <c r="E167" s="27"/>
      <c r="F167" s="27"/>
      <c r="G167" s="27"/>
      <c r="H167" s="27"/>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c r="AT167" s="27"/>
      <c r="AU167" s="27"/>
      <c r="AV167" s="27"/>
      <c r="AW167" s="27"/>
      <c r="AX167" s="27"/>
      <c r="AY167" s="27"/>
      <c r="AZ167" s="27"/>
    </row>
    <row r="168" spans="1:52" ht="11.25" customHeight="1" x14ac:dyDescent="0.2">
      <c r="A168" s="27"/>
      <c r="B168" s="27"/>
      <c r="C168" s="27"/>
      <c r="D168" s="27"/>
      <c r="E168" s="27"/>
      <c r="F168" s="27"/>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c r="AY168" s="27"/>
      <c r="AZ168" s="27"/>
    </row>
    <row r="169" spans="1:52" ht="11.25" customHeight="1" x14ac:dyDescent="0.2">
      <c r="A169" s="27"/>
      <c r="B169" s="27"/>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c r="AY169" s="27"/>
      <c r="AZ169" s="27"/>
    </row>
    <row r="170" spans="1:52" ht="11.25" customHeight="1" x14ac:dyDescent="0.2">
      <c r="A170" s="27"/>
      <c r="B170" s="27"/>
      <c r="C170" s="27"/>
      <c r="D170" s="27"/>
      <c r="E170" s="27"/>
      <c r="F170" s="27"/>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row>
    <row r="171" spans="1:52" ht="11.25" customHeight="1" x14ac:dyDescent="0.2">
      <c r="A171" s="27"/>
      <c r="B171" s="27"/>
      <c r="C171" s="27"/>
      <c r="D171" s="27"/>
      <c r="E171" s="27"/>
      <c r="F171" s="27"/>
      <c r="G171" s="27"/>
      <c r="H171" s="27"/>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c r="AT171" s="27"/>
      <c r="AU171" s="27"/>
      <c r="AV171" s="27"/>
      <c r="AW171" s="27"/>
      <c r="AX171" s="27"/>
      <c r="AY171" s="27"/>
      <c r="AZ171" s="27"/>
    </row>
    <row r="172" spans="1:52" ht="11.25" customHeight="1" x14ac:dyDescent="0.2">
      <c r="A172" s="27"/>
      <c r="B172" s="27"/>
      <c r="C172" s="27"/>
      <c r="D172" s="27"/>
      <c r="E172" s="27"/>
      <c r="F172" s="27"/>
      <c r="G172" s="27"/>
      <c r="H172" s="27"/>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c r="AT172" s="27"/>
      <c r="AU172" s="27"/>
      <c r="AV172" s="27"/>
      <c r="AW172" s="27"/>
      <c r="AX172" s="27"/>
      <c r="AY172" s="27"/>
      <c r="AZ172" s="27"/>
    </row>
    <row r="173" spans="1:52" ht="11.25" customHeight="1" x14ac:dyDescent="0.2">
      <c r="A173" s="27"/>
      <c r="B173" s="27"/>
      <c r="C173" s="27"/>
      <c r="D173" s="27"/>
      <c r="E173" s="27"/>
      <c r="F173" s="27"/>
      <c r="G173" s="27"/>
      <c r="H173" s="27"/>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c r="AT173" s="27"/>
      <c r="AU173" s="27"/>
      <c r="AV173" s="27"/>
      <c r="AW173" s="27"/>
      <c r="AX173" s="27"/>
      <c r="AY173" s="27"/>
      <c r="AZ173" s="27"/>
    </row>
    <row r="174" spans="1:52" ht="11.25" customHeight="1" x14ac:dyDescent="0.2">
      <c r="A174" s="27"/>
      <c r="B174" s="27"/>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c r="AT174" s="27"/>
      <c r="AU174" s="27"/>
      <c r="AV174" s="27"/>
      <c r="AW174" s="27"/>
      <c r="AX174" s="27"/>
      <c r="AY174" s="27"/>
      <c r="AZ174" s="27"/>
    </row>
    <row r="175" spans="1:52" ht="11.25" customHeight="1" x14ac:dyDescent="0.2">
      <c r="A175" s="27"/>
      <c r="B175" s="27"/>
      <c r="C175" s="27"/>
      <c r="D175" s="27"/>
      <c r="E175" s="27"/>
      <c r="F175" s="27"/>
      <c r="G175" s="27"/>
      <c r="H175" s="27"/>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c r="AS175" s="27"/>
      <c r="AT175" s="27"/>
      <c r="AU175" s="27"/>
      <c r="AV175" s="27"/>
      <c r="AW175" s="27"/>
      <c r="AX175" s="27"/>
      <c r="AY175" s="27"/>
      <c r="AZ175" s="27"/>
    </row>
    <row r="176" spans="1:52" ht="11.25" customHeight="1" x14ac:dyDescent="0.2">
      <c r="A176" s="27"/>
      <c r="B176" s="27"/>
      <c r="C176" s="27"/>
      <c r="D176" s="27"/>
      <c r="E176" s="27"/>
      <c r="F176" s="27"/>
      <c r="G176" s="27"/>
      <c r="H176" s="27"/>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c r="AS176" s="27"/>
      <c r="AT176" s="27"/>
      <c r="AU176" s="27"/>
      <c r="AV176" s="27"/>
      <c r="AW176" s="27"/>
      <c r="AX176" s="27"/>
      <c r="AY176" s="27"/>
      <c r="AZ176" s="27"/>
    </row>
    <row r="177" spans="1:52" ht="11.25" customHeight="1" x14ac:dyDescent="0.2">
      <c r="A177" s="27"/>
      <c r="B177" s="27"/>
      <c r="C177" s="27"/>
      <c r="D177" s="27"/>
      <c r="E177" s="27"/>
      <c r="F177" s="27"/>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c r="AS177" s="27"/>
      <c r="AT177" s="27"/>
      <c r="AU177" s="27"/>
      <c r="AV177" s="27"/>
      <c r="AW177" s="27"/>
      <c r="AX177" s="27"/>
      <c r="AY177" s="27"/>
      <c r="AZ177" s="27"/>
    </row>
    <row r="178" spans="1:52" ht="11.25" customHeight="1" x14ac:dyDescent="0.2">
      <c r="A178" s="27"/>
      <c r="B178" s="27"/>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c r="AS178" s="27"/>
      <c r="AT178" s="27"/>
      <c r="AU178" s="27"/>
      <c r="AV178" s="27"/>
      <c r="AW178" s="27"/>
      <c r="AX178" s="27"/>
      <c r="AY178" s="27"/>
      <c r="AZ178" s="27"/>
    </row>
    <row r="179" spans="1:52" ht="11.25" customHeight="1" x14ac:dyDescent="0.2">
      <c r="A179" s="27"/>
      <c r="B179" s="27"/>
      <c r="C179" s="27"/>
      <c r="D179" s="27"/>
      <c r="E179" s="27"/>
      <c r="F179" s="27"/>
      <c r="G179" s="27"/>
      <c r="H179" s="27"/>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c r="AS179" s="27"/>
      <c r="AT179" s="27"/>
      <c r="AU179" s="27"/>
      <c r="AV179" s="27"/>
      <c r="AW179" s="27"/>
      <c r="AX179" s="27"/>
      <c r="AY179" s="27"/>
      <c r="AZ179" s="27"/>
    </row>
    <row r="180" spans="1:52" ht="11.25" customHeight="1" x14ac:dyDescent="0.2">
      <c r="A180" s="27"/>
      <c r="B180" s="27"/>
      <c r="C180" s="27"/>
      <c r="D180" s="27"/>
      <c r="E180" s="27"/>
      <c r="F180" s="27"/>
      <c r="G180" s="27"/>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c r="AS180" s="27"/>
      <c r="AT180" s="27"/>
      <c r="AU180" s="27"/>
      <c r="AV180" s="27"/>
      <c r="AW180" s="27"/>
      <c r="AX180" s="27"/>
      <c r="AY180" s="27"/>
      <c r="AZ180" s="27"/>
    </row>
    <row r="181" spans="1:52" ht="11.25" customHeight="1" x14ac:dyDescent="0.2">
      <c r="A181" s="27"/>
      <c r="B181" s="27"/>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c r="AT181" s="27"/>
      <c r="AU181" s="27"/>
      <c r="AV181" s="27"/>
      <c r="AW181" s="27"/>
      <c r="AX181" s="27"/>
      <c r="AY181" s="27"/>
      <c r="AZ181" s="27"/>
    </row>
    <row r="182" spans="1:52" ht="11.25" customHeight="1" x14ac:dyDescent="0.2">
      <c r="A182" s="27"/>
      <c r="B182" s="27"/>
      <c r="C182" s="27"/>
      <c r="D182" s="27"/>
      <c r="E182" s="27"/>
      <c r="F182" s="27"/>
      <c r="G182" s="27"/>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c r="AT182" s="27"/>
      <c r="AU182" s="27"/>
      <c r="AV182" s="27"/>
      <c r="AW182" s="27"/>
      <c r="AX182" s="27"/>
      <c r="AY182" s="27"/>
      <c r="AZ182" s="27"/>
    </row>
    <row r="183" spans="1:52" ht="11.25" customHeight="1" x14ac:dyDescent="0.2">
      <c r="A183" s="27"/>
      <c r="B183" s="27"/>
      <c r="C183" s="27"/>
      <c r="D183" s="27"/>
      <c r="E183" s="27"/>
      <c r="F183" s="27"/>
      <c r="G183" s="27"/>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c r="AS183" s="27"/>
      <c r="AT183" s="27"/>
      <c r="AU183" s="27"/>
      <c r="AV183" s="27"/>
      <c r="AW183" s="27"/>
      <c r="AX183" s="27"/>
      <c r="AY183" s="27"/>
      <c r="AZ183" s="27"/>
    </row>
    <row r="184" spans="1:52" ht="11.25" customHeight="1" x14ac:dyDescent="0.2">
      <c r="A184" s="27"/>
      <c r="B184" s="27"/>
      <c r="C184" s="27"/>
      <c r="D184" s="27"/>
      <c r="E184" s="27"/>
      <c r="F184" s="27"/>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c r="AT184" s="27"/>
      <c r="AU184" s="27"/>
      <c r="AV184" s="27"/>
      <c r="AW184" s="27"/>
      <c r="AX184" s="27"/>
      <c r="AY184" s="27"/>
      <c r="AZ184" s="27"/>
    </row>
    <row r="185" spans="1:52" ht="11.25" customHeight="1" x14ac:dyDescent="0.2">
      <c r="A185" s="27"/>
      <c r="B185" s="27"/>
      <c r="C185" s="27"/>
      <c r="D185" s="27"/>
      <c r="E185" s="27"/>
      <c r="F185" s="27"/>
      <c r="G185" s="27"/>
      <c r="H185" s="27"/>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c r="AS185" s="27"/>
      <c r="AT185" s="27"/>
      <c r="AU185" s="27"/>
      <c r="AV185" s="27"/>
      <c r="AW185" s="27"/>
      <c r="AX185" s="27"/>
      <c r="AY185" s="27"/>
      <c r="AZ185" s="27"/>
    </row>
    <row r="186" spans="1:52" ht="11.25" customHeight="1" x14ac:dyDescent="0.2">
      <c r="A186" s="27"/>
      <c r="B186" s="27"/>
      <c r="C186" s="27"/>
      <c r="D186" s="27"/>
      <c r="E186" s="27"/>
      <c r="F186" s="27"/>
      <c r="G186" s="27"/>
      <c r="H186" s="27"/>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c r="AS186" s="27"/>
      <c r="AT186" s="27"/>
      <c r="AU186" s="27"/>
      <c r="AV186" s="27"/>
      <c r="AW186" s="27"/>
      <c r="AX186" s="27"/>
      <c r="AY186" s="27"/>
      <c r="AZ186" s="27"/>
    </row>
    <row r="187" spans="1:52" ht="11.25" customHeight="1" x14ac:dyDescent="0.2">
      <c r="A187" s="27"/>
      <c r="B187" s="27"/>
      <c r="C187" s="27"/>
      <c r="D187" s="27"/>
      <c r="E187" s="27"/>
      <c r="F187" s="27"/>
      <c r="G187" s="27"/>
      <c r="H187" s="27"/>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c r="AS187" s="27"/>
      <c r="AT187" s="27"/>
      <c r="AU187" s="27"/>
      <c r="AV187" s="27"/>
      <c r="AW187" s="27"/>
      <c r="AX187" s="27"/>
      <c r="AY187" s="27"/>
      <c r="AZ187" s="27"/>
    </row>
    <row r="188" spans="1:52" ht="11.25" customHeight="1" x14ac:dyDescent="0.2">
      <c r="A188" s="27"/>
      <c r="B188" s="27"/>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c r="AS188" s="27"/>
      <c r="AT188" s="27"/>
      <c r="AU188" s="27"/>
      <c r="AV188" s="27"/>
      <c r="AW188" s="27"/>
      <c r="AX188" s="27"/>
      <c r="AY188" s="27"/>
      <c r="AZ188" s="27"/>
    </row>
    <row r="189" spans="1:52" ht="11.25" customHeight="1" x14ac:dyDescent="0.2">
      <c r="A189" s="27"/>
      <c r="B189" s="27"/>
      <c r="C189" s="27"/>
      <c r="D189" s="27"/>
      <c r="E189" s="27"/>
      <c r="F189" s="27"/>
      <c r="G189" s="27"/>
      <c r="H189" s="27"/>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c r="AS189" s="27"/>
      <c r="AT189" s="27"/>
      <c r="AU189" s="27"/>
      <c r="AV189" s="27"/>
      <c r="AW189" s="27"/>
      <c r="AX189" s="27"/>
      <c r="AY189" s="27"/>
      <c r="AZ189" s="27"/>
    </row>
    <row r="190" spans="1:52" ht="11.25" customHeight="1" x14ac:dyDescent="0.2">
      <c r="A190" s="27"/>
      <c r="B190" s="27"/>
      <c r="C190" s="27"/>
      <c r="D190" s="27"/>
      <c r="E190" s="27"/>
      <c r="F190" s="27"/>
      <c r="G190" s="27"/>
      <c r="H190" s="27"/>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c r="AS190" s="27"/>
      <c r="AT190" s="27"/>
      <c r="AU190" s="27"/>
      <c r="AV190" s="27"/>
      <c r="AW190" s="27"/>
      <c r="AX190" s="27"/>
      <c r="AY190" s="27"/>
      <c r="AZ190" s="27"/>
    </row>
    <row r="191" spans="1:52" ht="11.25" customHeight="1" x14ac:dyDescent="0.2">
      <c r="A191" s="27"/>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c r="AS191" s="27"/>
      <c r="AT191" s="27"/>
      <c r="AU191" s="27"/>
      <c r="AV191" s="27"/>
      <c r="AW191" s="27"/>
      <c r="AX191" s="27"/>
      <c r="AY191" s="27"/>
      <c r="AZ191" s="27"/>
    </row>
    <row r="192" spans="1:52" ht="11.25" customHeight="1" x14ac:dyDescent="0.2">
      <c r="A192" s="27"/>
      <c r="B192" s="27"/>
      <c r="C192" s="27"/>
      <c r="D192" s="27"/>
      <c r="E192" s="27"/>
      <c r="F192" s="27"/>
      <c r="G192" s="27"/>
      <c r="H192" s="27"/>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c r="AS192" s="27"/>
      <c r="AT192" s="27"/>
      <c r="AU192" s="27"/>
      <c r="AV192" s="27"/>
      <c r="AW192" s="27"/>
      <c r="AX192" s="27"/>
      <c r="AY192" s="27"/>
      <c r="AZ192" s="27"/>
    </row>
    <row r="193" spans="1:52" ht="11.25" customHeight="1" x14ac:dyDescent="0.2">
      <c r="A193" s="27"/>
      <c r="B193" s="27"/>
      <c r="C193" s="27"/>
      <c r="D193" s="27"/>
      <c r="E193" s="27"/>
      <c r="F193" s="27"/>
      <c r="G193" s="27"/>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c r="AS193" s="27"/>
      <c r="AT193" s="27"/>
      <c r="AU193" s="27"/>
      <c r="AV193" s="27"/>
      <c r="AW193" s="27"/>
      <c r="AX193" s="27"/>
      <c r="AY193" s="27"/>
      <c r="AZ193" s="27"/>
    </row>
    <row r="194" spans="1:52" ht="11.25" customHeight="1" x14ac:dyDescent="0.2">
      <c r="A194" s="27"/>
      <c r="B194" s="27"/>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c r="AS194" s="27"/>
      <c r="AT194" s="27"/>
      <c r="AU194" s="27"/>
      <c r="AV194" s="27"/>
      <c r="AW194" s="27"/>
      <c r="AX194" s="27"/>
      <c r="AY194" s="27"/>
      <c r="AZ194" s="27"/>
    </row>
    <row r="195" spans="1:52" ht="11.25" customHeight="1" x14ac:dyDescent="0.2">
      <c r="A195" s="27"/>
      <c r="B195" s="27"/>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c r="AS195" s="27"/>
      <c r="AT195" s="27"/>
      <c r="AU195" s="27"/>
      <c r="AV195" s="27"/>
      <c r="AW195" s="27"/>
      <c r="AX195" s="27"/>
      <c r="AY195" s="27"/>
      <c r="AZ195" s="27"/>
    </row>
    <row r="196" spans="1:52" ht="11.25" customHeight="1" x14ac:dyDescent="0.2">
      <c r="A196" s="27"/>
      <c r="B196" s="27"/>
      <c r="C196" s="27"/>
      <c r="D196" s="27"/>
      <c r="E196" s="27"/>
      <c r="F196" s="27"/>
      <c r="G196" s="27"/>
      <c r="H196" s="27"/>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c r="AS196" s="27"/>
      <c r="AT196" s="27"/>
      <c r="AU196" s="27"/>
      <c r="AV196" s="27"/>
      <c r="AW196" s="27"/>
      <c r="AX196" s="27"/>
      <c r="AY196" s="27"/>
      <c r="AZ196" s="27"/>
    </row>
    <row r="197" spans="1:52" ht="11.25" customHeight="1" x14ac:dyDescent="0.2">
      <c r="A197" s="27"/>
      <c r="B197" s="27"/>
      <c r="C197" s="27"/>
      <c r="D197" s="27"/>
      <c r="E197" s="27"/>
      <c r="F197" s="27"/>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c r="AS197" s="27"/>
      <c r="AT197" s="27"/>
      <c r="AU197" s="27"/>
      <c r="AV197" s="27"/>
      <c r="AW197" s="27"/>
      <c r="AX197" s="27"/>
      <c r="AY197" s="27"/>
      <c r="AZ197" s="27"/>
    </row>
    <row r="198" spans="1:52" ht="11.25" customHeight="1" x14ac:dyDescent="0.2">
      <c r="A198" s="27"/>
      <c r="B198" s="27"/>
      <c r="C198" s="27"/>
      <c r="D198" s="27"/>
      <c r="E198" s="27"/>
      <c r="F198" s="27"/>
      <c r="G198" s="27"/>
      <c r="H198" s="27"/>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c r="AS198" s="27"/>
      <c r="AT198" s="27"/>
      <c r="AU198" s="27"/>
      <c r="AV198" s="27"/>
      <c r="AW198" s="27"/>
      <c r="AX198" s="27"/>
      <c r="AY198" s="27"/>
      <c r="AZ198" s="27"/>
    </row>
    <row r="199" spans="1:52" ht="11.25" customHeight="1" x14ac:dyDescent="0.2">
      <c r="A199" s="27"/>
      <c r="B199" s="27"/>
      <c r="C199" s="27"/>
      <c r="D199" s="27"/>
      <c r="E199" s="27"/>
      <c r="F199" s="27"/>
      <c r="G199" s="27"/>
      <c r="H199" s="27"/>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c r="AS199" s="27"/>
      <c r="AT199" s="27"/>
      <c r="AU199" s="27"/>
      <c r="AV199" s="27"/>
      <c r="AW199" s="27"/>
      <c r="AX199" s="27"/>
      <c r="AY199" s="27"/>
      <c r="AZ199" s="27"/>
    </row>
    <row r="200" spans="1:52" ht="11.25" customHeight="1" x14ac:dyDescent="0.2">
      <c r="A200" s="27"/>
      <c r="B200" s="27"/>
      <c r="C200" s="27"/>
      <c r="D200" s="27"/>
      <c r="E200" s="27"/>
      <c r="F200" s="27"/>
      <c r="G200" s="27"/>
      <c r="H200" s="27"/>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c r="AS200" s="27"/>
      <c r="AT200" s="27"/>
      <c r="AU200" s="27"/>
      <c r="AV200" s="27"/>
      <c r="AW200" s="27"/>
      <c r="AX200" s="27"/>
      <c r="AY200" s="27"/>
      <c r="AZ200" s="27"/>
    </row>
    <row r="201" spans="1:52" ht="11.25" customHeight="1" x14ac:dyDescent="0.2">
      <c r="A201" s="27"/>
      <c r="B201" s="27"/>
      <c r="C201" s="27"/>
      <c r="D201" s="27"/>
      <c r="E201" s="27"/>
      <c r="F201" s="27"/>
      <c r="G201" s="27"/>
      <c r="H201" s="27"/>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c r="AS201" s="27"/>
      <c r="AT201" s="27"/>
      <c r="AU201" s="27"/>
      <c r="AV201" s="27"/>
      <c r="AW201" s="27"/>
      <c r="AX201" s="27"/>
      <c r="AY201" s="27"/>
      <c r="AZ201" s="27"/>
    </row>
    <row r="202" spans="1:52" ht="11.25" customHeight="1" x14ac:dyDescent="0.2">
      <c r="A202" s="27"/>
      <c r="B202" s="27"/>
      <c r="C202" s="27"/>
      <c r="D202" s="27"/>
      <c r="E202" s="27"/>
      <c r="F202" s="27"/>
      <c r="G202" s="27"/>
      <c r="H202" s="27"/>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c r="AS202" s="27"/>
      <c r="AT202" s="27"/>
      <c r="AU202" s="27"/>
      <c r="AV202" s="27"/>
      <c r="AW202" s="27"/>
      <c r="AX202" s="27"/>
      <c r="AY202" s="27"/>
      <c r="AZ202" s="27"/>
    </row>
    <row r="203" spans="1:52" ht="11.25" customHeight="1" x14ac:dyDescent="0.2">
      <c r="A203" s="27"/>
      <c r="B203" s="27"/>
      <c r="C203" s="27"/>
      <c r="D203" s="27"/>
      <c r="E203" s="27"/>
      <c r="F203" s="27"/>
      <c r="G203" s="27"/>
      <c r="H203" s="27"/>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c r="AS203" s="27"/>
      <c r="AT203" s="27"/>
      <c r="AU203" s="27"/>
      <c r="AV203" s="27"/>
      <c r="AW203" s="27"/>
      <c r="AX203" s="27"/>
      <c r="AY203" s="27"/>
      <c r="AZ203" s="27"/>
    </row>
    <row r="204" spans="1:52" ht="11.25" customHeight="1" x14ac:dyDescent="0.2">
      <c r="A204" s="27"/>
      <c r="B204" s="27"/>
      <c r="C204" s="27"/>
      <c r="D204" s="27"/>
      <c r="E204" s="27"/>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c r="AT204" s="27"/>
      <c r="AU204" s="27"/>
      <c r="AV204" s="27"/>
      <c r="AW204" s="27"/>
      <c r="AX204" s="27"/>
      <c r="AY204" s="27"/>
      <c r="AZ204" s="27"/>
    </row>
    <row r="205" spans="1:52" ht="11.25" customHeight="1" x14ac:dyDescent="0.2">
      <c r="A205" s="27"/>
      <c r="B205" s="27"/>
      <c r="C205" s="27"/>
      <c r="D205" s="27"/>
      <c r="E205" s="27"/>
      <c r="F205" s="27"/>
      <c r="G205" s="27"/>
      <c r="H205" s="27"/>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c r="AS205" s="27"/>
      <c r="AT205" s="27"/>
      <c r="AU205" s="27"/>
      <c r="AV205" s="27"/>
      <c r="AW205" s="27"/>
      <c r="AX205" s="27"/>
      <c r="AY205" s="27"/>
      <c r="AZ205" s="27"/>
    </row>
    <row r="206" spans="1:52" ht="11.25" customHeight="1" x14ac:dyDescent="0.2">
      <c r="A206" s="27"/>
      <c r="B206" s="27"/>
      <c r="C206" s="27"/>
      <c r="D206" s="27"/>
      <c r="E206" s="27"/>
      <c r="F206" s="27"/>
      <c r="G206" s="27"/>
      <c r="H206" s="27"/>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c r="AS206" s="27"/>
      <c r="AT206" s="27"/>
      <c r="AU206" s="27"/>
      <c r="AV206" s="27"/>
      <c r="AW206" s="27"/>
      <c r="AX206" s="27"/>
      <c r="AY206" s="27"/>
      <c r="AZ206" s="27"/>
    </row>
    <row r="207" spans="1:52" ht="11.25" customHeight="1" x14ac:dyDescent="0.2">
      <c r="A207" s="27"/>
      <c r="B207" s="27"/>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c r="AS207" s="27"/>
      <c r="AT207" s="27"/>
      <c r="AU207" s="27"/>
      <c r="AV207" s="27"/>
      <c r="AW207" s="27"/>
      <c r="AX207" s="27"/>
      <c r="AY207" s="27"/>
      <c r="AZ207" s="27"/>
    </row>
    <row r="208" spans="1:52" ht="11.25" customHeight="1" x14ac:dyDescent="0.2">
      <c r="A208" s="27"/>
      <c r="B208" s="27"/>
      <c r="C208" s="27"/>
      <c r="D208" s="27"/>
      <c r="E208" s="27"/>
      <c r="F208" s="27"/>
      <c r="G208" s="27"/>
      <c r="H208" s="27"/>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c r="AS208" s="27"/>
      <c r="AT208" s="27"/>
      <c r="AU208" s="27"/>
      <c r="AV208" s="27"/>
      <c r="AW208" s="27"/>
      <c r="AX208" s="27"/>
      <c r="AY208" s="27"/>
      <c r="AZ208" s="27"/>
    </row>
    <row r="209" spans="1:52" ht="11.25" customHeight="1" x14ac:dyDescent="0.2">
      <c r="A209" s="27"/>
      <c r="B209" s="27"/>
      <c r="C209" s="27"/>
      <c r="D209" s="27"/>
      <c r="E209" s="27"/>
      <c r="F209" s="27"/>
      <c r="G209" s="27"/>
      <c r="H209" s="27"/>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c r="AS209" s="27"/>
      <c r="AT209" s="27"/>
      <c r="AU209" s="27"/>
      <c r="AV209" s="27"/>
      <c r="AW209" s="27"/>
      <c r="AX209" s="27"/>
      <c r="AY209" s="27"/>
      <c r="AZ209" s="27"/>
    </row>
    <row r="210" spans="1:52" ht="11.25" customHeight="1" x14ac:dyDescent="0.2">
      <c r="A210" s="27"/>
      <c r="B210" s="27"/>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c r="AS210" s="27"/>
      <c r="AT210" s="27"/>
      <c r="AU210" s="27"/>
      <c r="AV210" s="27"/>
      <c r="AW210" s="27"/>
      <c r="AX210" s="27"/>
      <c r="AY210" s="27"/>
      <c r="AZ210" s="27"/>
    </row>
    <row r="211" spans="1:52" ht="11.25" customHeight="1" x14ac:dyDescent="0.2">
      <c r="A211" s="27"/>
      <c r="B211" s="27"/>
      <c r="C211" s="27"/>
      <c r="D211" s="27"/>
      <c r="E211" s="27"/>
      <c r="F211" s="27"/>
      <c r="G211" s="27"/>
      <c r="H211" s="27"/>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c r="AS211" s="27"/>
      <c r="AT211" s="27"/>
      <c r="AU211" s="27"/>
      <c r="AV211" s="27"/>
      <c r="AW211" s="27"/>
      <c r="AX211" s="27"/>
      <c r="AY211" s="27"/>
      <c r="AZ211" s="27"/>
    </row>
    <row r="212" spans="1:52" ht="11.25" customHeight="1" x14ac:dyDescent="0.2">
      <c r="A212" s="27"/>
      <c r="B212" s="27"/>
      <c r="C212" s="27"/>
      <c r="D212" s="27"/>
      <c r="E212" s="27"/>
      <c r="F212" s="27"/>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c r="AS212" s="27"/>
      <c r="AT212" s="27"/>
      <c r="AU212" s="27"/>
      <c r="AV212" s="27"/>
      <c r="AW212" s="27"/>
      <c r="AX212" s="27"/>
      <c r="AY212" s="27"/>
      <c r="AZ212" s="27"/>
    </row>
    <row r="213" spans="1:52" ht="11.25" customHeight="1" x14ac:dyDescent="0.2">
      <c r="A213" s="27"/>
      <c r="B213" s="27"/>
      <c r="C213" s="27"/>
      <c r="D213" s="27"/>
      <c r="E213" s="27"/>
      <c r="F213" s="27"/>
      <c r="G213" s="27"/>
      <c r="H213" s="27"/>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c r="AS213" s="27"/>
      <c r="AT213" s="27"/>
      <c r="AU213" s="27"/>
      <c r="AV213" s="27"/>
      <c r="AW213" s="27"/>
      <c r="AX213" s="27"/>
      <c r="AY213" s="27"/>
      <c r="AZ213" s="27"/>
    </row>
    <row r="214" spans="1:52" ht="11.25" customHeight="1" x14ac:dyDescent="0.2">
      <c r="A214" s="27"/>
      <c r="B214" s="27"/>
      <c r="C214" s="27"/>
      <c r="D214" s="27"/>
      <c r="E214" s="27"/>
      <c r="F214" s="27"/>
      <c r="G214" s="27"/>
      <c r="H214" s="27"/>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c r="AS214" s="27"/>
      <c r="AT214" s="27"/>
      <c r="AU214" s="27"/>
      <c r="AV214" s="27"/>
      <c r="AW214" s="27"/>
      <c r="AX214" s="27"/>
      <c r="AY214" s="27"/>
      <c r="AZ214" s="27"/>
    </row>
    <row r="215" spans="1:52" ht="11.25" customHeight="1" x14ac:dyDescent="0.2">
      <c r="A215" s="27"/>
      <c r="B215" s="27"/>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c r="AS215" s="27"/>
      <c r="AT215" s="27"/>
      <c r="AU215" s="27"/>
      <c r="AV215" s="27"/>
      <c r="AW215" s="27"/>
      <c r="AX215" s="27"/>
      <c r="AY215" s="27"/>
      <c r="AZ215" s="27"/>
    </row>
    <row r="216" spans="1:52" ht="11.25" customHeight="1" x14ac:dyDescent="0.2">
      <c r="A216" s="27"/>
      <c r="B216" s="27"/>
      <c r="C216" s="27"/>
      <c r="D216" s="27"/>
      <c r="E216" s="27"/>
      <c r="F216" s="27"/>
      <c r="G216" s="27"/>
      <c r="H216" s="27"/>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c r="AS216" s="27"/>
      <c r="AT216" s="27"/>
      <c r="AU216" s="27"/>
      <c r="AV216" s="27"/>
      <c r="AW216" s="27"/>
      <c r="AX216" s="27"/>
      <c r="AY216" s="27"/>
      <c r="AZ216" s="27"/>
    </row>
    <row r="217" spans="1:52" ht="11.25" customHeight="1" x14ac:dyDescent="0.2">
      <c r="A217" s="27"/>
      <c r="B217" s="27"/>
      <c r="C217" s="27"/>
      <c r="D217" s="27"/>
      <c r="E217" s="27"/>
      <c r="F217" s="27"/>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c r="AS217" s="27"/>
      <c r="AT217" s="27"/>
      <c r="AU217" s="27"/>
      <c r="AV217" s="27"/>
      <c r="AW217" s="27"/>
      <c r="AX217" s="27"/>
      <c r="AY217" s="27"/>
      <c r="AZ217" s="27"/>
    </row>
    <row r="218" spans="1:52" ht="11.25" customHeight="1" x14ac:dyDescent="0.2">
      <c r="A218" s="27"/>
      <c r="B218" s="27"/>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c r="AS218" s="27"/>
      <c r="AT218" s="27"/>
      <c r="AU218" s="27"/>
      <c r="AV218" s="27"/>
      <c r="AW218" s="27"/>
      <c r="AX218" s="27"/>
      <c r="AY218" s="27"/>
      <c r="AZ218" s="27"/>
    </row>
    <row r="219" spans="1:52" ht="11.25" customHeight="1" x14ac:dyDescent="0.2">
      <c r="A219" s="27"/>
      <c r="B219" s="27"/>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c r="AT219" s="27"/>
      <c r="AU219" s="27"/>
      <c r="AV219" s="27"/>
      <c r="AW219" s="27"/>
      <c r="AX219" s="27"/>
      <c r="AY219" s="27"/>
      <c r="AZ219" s="27"/>
    </row>
    <row r="220" spans="1:52" ht="11.25" customHeight="1" x14ac:dyDescent="0.2">
      <c r="A220" s="27"/>
      <c r="B220" s="27"/>
      <c r="C220" s="27"/>
      <c r="D220" s="27"/>
      <c r="E220" s="27"/>
      <c r="F220" s="27"/>
      <c r="G220" s="27"/>
      <c r="H220" s="27"/>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c r="AS220" s="27"/>
      <c r="AT220" s="27"/>
      <c r="AU220" s="27"/>
      <c r="AV220" s="27"/>
      <c r="AW220" s="27"/>
      <c r="AX220" s="27"/>
      <c r="AY220" s="27"/>
      <c r="AZ220" s="27"/>
    </row>
    <row r="221" spans="1:52" ht="11.25" customHeight="1" x14ac:dyDescent="0.2">
      <c r="A221" s="27"/>
      <c r="B221" s="27"/>
      <c r="C221" s="27"/>
      <c r="D221" s="27"/>
      <c r="E221" s="27"/>
      <c r="F221" s="27"/>
      <c r="G221" s="27"/>
      <c r="H221" s="27"/>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c r="AS221" s="27"/>
      <c r="AT221" s="27"/>
      <c r="AU221" s="27"/>
      <c r="AV221" s="27"/>
      <c r="AW221" s="27"/>
      <c r="AX221" s="27"/>
      <c r="AY221" s="27"/>
      <c r="AZ221" s="27"/>
    </row>
    <row r="222" spans="1:52" ht="11.25" customHeight="1" x14ac:dyDescent="0.2">
      <c r="A222" s="27"/>
      <c r="B222" s="27"/>
      <c r="C222" s="27"/>
      <c r="D222" s="27"/>
      <c r="E222" s="27"/>
      <c r="F222" s="27"/>
      <c r="G222" s="27"/>
      <c r="H222" s="27"/>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c r="AS222" s="27"/>
      <c r="AT222" s="27"/>
      <c r="AU222" s="27"/>
      <c r="AV222" s="27"/>
      <c r="AW222" s="27"/>
      <c r="AX222" s="27"/>
      <c r="AY222" s="27"/>
      <c r="AZ222" s="27"/>
    </row>
    <row r="223" spans="1:52" ht="11.25" customHeight="1" x14ac:dyDescent="0.2">
      <c r="A223" s="27"/>
      <c r="B223" s="27"/>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c r="AS223" s="27"/>
      <c r="AT223" s="27"/>
      <c r="AU223" s="27"/>
      <c r="AV223" s="27"/>
      <c r="AW223" s="27"/>
      <c r="AX223" s="27"/>
      <c r="AY223" s="27"/>
      <c r="AZ223" s="27"/>
    </row>
    <row r="224" spans="1:52" ht="11.25" customHeight="1" x14ac:dyDescent="0.2">
      <c r="A224" s="27"/>
      <c r="B224" s="27"/>
      <c r="C224" s="27"/>
      <c r="D224" s="27"/>
      <c r="E224" s="27"/>
      <c r="F224" s="27"/>
      <c r="G224" s="27"/>
      <c r="H224" s="27"/>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c r="AS224" s="27"/>
      <c r="AT224" s="27"/>
      <c r="AU224" s="27"/>
      <c r="AV224" s="27"/>
      <c r="AW224" s="27"/>
      <c r="AX224" s="27"/>
      <c r="AY224" s="27"/>
      <c r="AZ224" s="27"/>
    </row>
    <row r="225" spans="1:52" ht="11.25" customHeight="1" x14ac:dyDescent="0.2">
      <c r="A225" s="27"/>
      <c r="B225" s="27"/>
      <c r="C225" s="27"/>
      <c r="D225" s="27"/>
      <c r="E225" s="27"/>
      <c r="F225" s="27"/>
      <c r="G225" s="27"/>
      <c r="H225" s="27"/>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c r="AS225" s="27"/>
      <c r="AT225" s="27"/>
      <c r="AU225" s="27"/>
      <c r="AV225" s="27"/>
      <c r="AW225" s="27"/>
      <c r="AX225" s="27"/>
      <c r="AY225" s="27"/>
      <c r="AZ225" s="27"/>
    </row>
    <row r="226" spans="1:52" ht="11.25" customHeight="1" x14ac:dyDescent="0.2">
      <c r="A226" s="27"/>
      <c r="B226" s="27"/>
      <c r="C226" s="27"/>
      <c r="D226" s="27"/>
      <c r="E226" s="27"/>
      <c r="F226" s="27"/>
      <c r="G226" s="27"/>
      <c r="H226" s="27"/>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c r="AS226" s="27"/>
      <c r="AT226" s="27"/>
      <c r="AU226" s="27"/>
      <c r="AV226" s="27"/>
      <c r="AW226" s="27"/>
      <c r="AX226" s="27"/>
      <c r="AY226" s="27"/>
      <c r="AZ226" s="27"/>
    </row>
    <row r="227" spans="1:52" ht="11.25" customHeight="1" x14ac:dyDescent="0.2">
      <c r="A227" s="27"/>
      <c r="B227" s="27"/>
      <c r="C227" s="27"/>
      <c r="D227" s="27"/>
      <c r="E227" s="27"/>
      <c r="F227" s="27"/>
      <c r="G227" s="27"/>
      <c r="H227" s="27"/>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c r="AS227" s="27"/>
      <c r="AT227" s="27"/>
      <c r="AU227" s="27"/>
      <c r="AV227" s="27"/>
      <c r="AW227" s="27"/>
      <c r="AX227" s="27"/>
      <c r="AY227" s="27"/>
      <c r="AZ227" s="27"/>
    </row>
    <row r="228" spans="1:52" ht="11.25" customHeight="1" x14ac:dyDescent="0.2">
      <c r="A228" s="27"/>
      <c r="B228" s="27"/>
      <c r="C228" s="27"/>
      <c r="D228" s="27"/>
      <c r="E228" s="27"/>
      <c r="F228" s="27"/>
      <c r="G228" s="27"/>
      <c r="H228" s="27"/>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c r="AS228" s="27"/>
      <c r="AT228" s="27"/>
      <c r="AU228" s="27"/>
      <c r="AV228" s="27"/>
      <c r="AW228" s="27"/>
      <c r="AX228" s="27"/>
      <c r="AY228" s="27"/>
      <c r="AZ228" s="27"/>
    </row>
    <row r="229" spans="1:52" ht="11.25" customHeight="1" x14ac:dyDescent="0.2">
      <c r="A229" s="27"/>
      <c r="B229" s="27"/>
      <c r="C229" s="27"/>
      <c r="D229" s="27"/>
      <c r="E229" s="27"/>
      <c r="F229" s="27"/>
      <c r="G229" s="27"/>
      <c r="H229" s="27"/>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c r="AS229" s="27"/>
      <c r="AT229" s="27"/>
      <c r="AU229" s="27"/>
      <c r="AV229" s="27"/>
      <c r="AW229" s="27"/>
      <c r="AX229" s="27"/>
      <c r="AY229" s="27"/>
      <c r="AZ229" s="27"/>
    </row>
    <row r="230" spans="1:52" ht="11.25" customHeight="1" x14ac:dyDescent="0.2">
      <c r="A230" s="27"/>
      <c r="B230" s="27"/>
      <c r="C230" s="27"/>
      <c r="D230" s="27"/>
      <c r="E230" s="27"/>
      <c r="F230" s="27"/>
      <c r="G230" s="27"/>
      <c r="H230" s="27"/>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c r="AS230" s="27"/>
      <c r="AT230" s="27"/>
      <c r="AU230" s="27"/>
      <c r="AV230" s="27"/>
      <c r="AW230" s="27"/>
      <c r="AX230" s="27"/>
      <c r="AY230" s="27"/>
      <c r="AZ230" s="27"/>
    </row>
    <row r="231" spans="1:52" ht="11.25" customHeight="1" x14ac:dyDescent="0.2">
      <c r="A231" s="27"/>
      <c r="B231" s="27"/>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c r="AS231" s="27"/>
      <c r="AT231" s="27"/>
      <c r="AU231" s="27"/>
      <c r="AV231" s="27"/>
      <c r="AW231" s="27"/>
      <c r="AX231" s="27"/>
      <c r="AY231" s="27"/>
      <c r="AZ231" s="27"/>
    </row>
    <row r="232" spans="1:52" ht="11.25" customHeight="1" x14ac:dyDescent="0.2">
      <c r="A232" s="27"/>
      <c r="B232" s="27"/>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c r="AS232" s="27"/>
      <c r="AT232" s="27"/>
      <c r="AU232" s="27"/>
      <c r="AV232" s="27"/>
      <c r="AW232" s="27"/>
      <c r="AX232" s="27"/>
      <c r="AY232" s="27"/>
      <c r="AZ232" s="27"/>
    </row>
    <row r="233" spans="1:52" ht="11.25" customHeight="1" x14ac:dyDescent="0.2">
      <c r="A233" s="27"/>
      <c r="B233" s="27"/>
      <c r="C233" s="27"/>
      <c r="D233" s="27"/>
      <c r="E233" s="27"/>
      <c r="F233" s="27"/>
      <c r="G233" s="27"/>
      <c r="H233" s="27"/>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c r="AS233" s="27"/>
      <c r="AT233" s="27"/>
      <c r="AU233" s="27"/>
      <c r="AV233" s="27"/>
      <c r="AW233" s="27"/>
      <c r="AX233" s="27"/>
      <c r="AY233" s="27"/>
      <c r="AZ233" s="27"/>
    </row>
    <row r="234" spans="1:52" ht="11.25" customHeight="1" x14ac:dyDescent="0.2">
      <c r="A234" s="27"/>
      <c r="B234" s="27"/>
      <c r="C234" s="27"/>
      <c r="D234" s="27"/>
      <c r="E234" s="27"/>
      <c r="F234" s="27"/>
      <c r="G234" s="27"/>
      <c r="H234" s="27"/>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c r="AS234" s="27"/>
      <c r="AT234" s="27"/>
      <c r="AU234" s="27"/>
      <c r="AV234" s="27"/>
      <c r="AW234" s="27"/>
      <c r="AX234" s="27"/>
      <c r="AY234" s="27"/>
      <c r="AZ234" s="27"/>
    </row>
    <row r="235" spans="1:52" ht="11.25" customHeight="1" x14ac:dyDescent="0.2">
      <c r="A235" s="27"/>
      <c r="B235" s="27"/>
      <c r="C235" s="27"/>
      <c r="D235" s="27"/>
      <c r="E235" s="27"/>
      <c r="F235" s="27"/>
      <c r="G235" s="27"/>
      <c r="H235" s="27"/>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c r="AS235" s="27"/>
      <c r="AT235" s="27"/>
      <c r="AU235" s="27"/>
      <c r="AV235" s="27"/>
      <c r="AW235" s="27"/>
      <c r="AX235" s="27"/>
      <c r="AY235" s="27"/>
      <c r="AZ235" s="27"/>
    </row>
    <row r="236" spans="1:52" ht="11.25" customHeight="1" x14ac:dyDescent="0.2">
      <c r="A236" s="27"/>
      <c r="B236" s="27"/>
      <c r="C236" s="27"/>
      <c r="D236" s="27"/>
      <c r="E236" s="27"/>
      <c r="F236" s="27"/>
      <c r="G236" s="27"/>
      <c r="H236" s="27"/>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c r="AS236" s="27"/>
      <c r="AT236" s="27"/>
      <c r="AU236" s="27"/>
      <c r="AV236" s="27"/>
      <c r="AW236" s="27"/>
      <c r="AX236" s="27"/>
      <c r="AY236" s="27"/>
      <c r="AZ236" s="27"/>
    </row>
    <row r="237" spans="1:52" ht="11.25" customHeight="1" x14ac:dyDescent="0.2">
      <c r="A237" s="27"/>
      <c r="B237" s="27"/>
      <c r="C237" s="27"/>
      <c r="D237" s="27"/>
      <c r="E237" s="27"/>
      <c r="F237" s="27"/>
      <c r="G237" s="27"/>
      <c r="H237" s="27"/>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c r="AS237" s="27"/>
      <c r="AT237" s="27"/>
      <c r="AU237" s="27"/>
      <c r="AV237" s="27"/>
      <c r="AW237" s="27"/>
      <c r="AX237" s="27"/>
      <c r="AY237" s="27"/>
      <c r="AZ237" s="27"/>
    </row>
    <row r="238" spans="1:52" ht="11.25" customHeight="1" x14ac:dyDescent="0.2">
      <c r="A238" s="27"/>
      <c r="B238" s="27"/>
      <c r="C238" s="27"/>
      <c r="D238" s="27"/>
      <c r="E238" s="27"/>
      <c r="F238" s="27"/>
      <c r="G238" s="27"/>
      <c r="H238" s="27"/>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c r="AS238" s="27"/>
      <c r="AT238" s="27"/>
      <c r="AU238" s="27"/>
      <c r="AV238" s="27"/>
      <c r="AW238" s="27"/>
      <c r="AX238" s="27"/>
      <c r="AY238" s="27"/>
      <c r="AZ238" s="27"/>
    </row>
    <row r="239" spans="1:52" ht="11.25" customHeight="1" x14ac:dyDescent="0.2">
      <c r="A239" s="27"/>
      <c r="B239" s="27"/>
      <c r="C239" s="27"/>
      <c r="D239" s="27"/>
      <c r="E239" s="27"/>
      <c r="F239" s="27"/>
      <c r="G239" s="27"/>
      <c r="H239" s="27"/>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c r="AS239" s="27"/>
      <c r="AT239" s="27"/>
      <c r="AU239" s="27"/>
      <c r="AV239" s="27"/>
      <c r="AW239" s="27"/>
      <c r="AX239" s="27"/>
      <c r="AY239" s="27"/>
      <c r="AZ239" s="27"/>
    </row>
    <row r="240" spans="1:52" ht="11.25" customHeight="1" x14ac:dyDescent="0.2">
      <c r="A240" s="27"/>
      <c r="B240" s="27"/>
      <c r="C240" s="27"/>
      <c r="D240" s="27"/>
      <c r="E240" s="27"/>
      <c r="F240" s="27"/>
      <c r="G240" s="27"/>
      <c r="H240" s="27"/>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c r="AS240" s="27"/>
      <c r="AT240" s="27"/>
      <c r="AU240" s="27"/>
      <c r="AV240" s="27"/>
      <c r="AW240" s="27"/>
      <c r="AX240" s="27"/>
      <c r="AY240" s="27"/>
      <c r="AZ240" s="27"/>
    </row>
    <row r="241" spans="1:52" ht="11.25" customHeight="1" x14ac:dyDescent="0.2">
      <c r="A241" s="27"/>
      <c r="B241" s="27"/>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c r="AS241" s="27"/>
      <c r="AT241" s="27"/>
      <c r="AU241" s="27"/>
      <c r="AV241" s="27"/>
      <c r="AW241" s="27"/>
      <c r="AX241" s="27"/>
      <c r="AY241" s="27"/>
      <c r="AZ241" s="27"/>
    </row>
    <row r="242" spans="1:52" ht="11.25" customHeight="1" x14ac:dyDescent="0.2">
      <c r="A242" s="27"/>
      <c r="B242" s="27"/>
      <c r="C242" s="27"/>
      <c r="D242" s="27"/>
      <c r="E242" s="27"/>
      <c r="F242" s="27"/>
      <c r="G242" s="27"/>
      <c r="H242" s="27"/>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c r="AS242" s="27"/>
      <c r="AT242" s="27"/>
      <c r="AU242" s="27"/>
      <c r="AV242" s="27"/>
      <c r="AW242" s="27"/>
      <c r="AX242" s="27"/>
      <c r="AY242" s="27"/>
      <c r="AZ242" s="27"/>
    </row>
    <row r="243" spans="1:52" ht="11.25" customHeight="1" x14ac:dyDescent="0.2">
      <c r="A243" s="27"/>
      <c r="B243" s="27"/>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c r="AS243" s="27"/>
      <c r="AT243" s="27"/>
      <c r="AU243" s="27"/>
      <c r="AV243" s="27"/>
      <c r="AW243" s="27"/>
      <c r="AX243" s="27"/>
      <c r="AY243" s="27"/>
      <c r="AZ243" s="27"/>
    </row>
    <row r="244" spans="1:52" ht="11.25" customHeight="1" x14ac:dyDescent="0.2">
      <c r="A244" s="27"/>
      <c r="B244" s="27"/>
      <c r="C244" s="27"/>
      <c r="D244" s="27"/>
      <c r="E244" s="27"/>
      <c r="F244" s="27"/>
      <c r="G244" s="27"/>
      <c r="H244" s="27"/>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c r="AS244" s="27"/>
      <c r="AT244" s="27"/>
      <c r="AU244" s="27"/>
      <c r="AV244" s="27"/>
      <c r="AW244" s="27"/>
      <c r="AX244" s="27"/>
      <c r="AY244" s="27"/>
      <c r="AZ244" s="27"/>
    </row>
    <row r="245" spans="1:52" ht="11.25" customHeight="1" x14ac:dyDescent="0.2">
      <c r="A245" s="27"/>
      <c r="B245" s="27"/>
      <c r="C245" s="27"/>
      <c r="D245" s="27"/>
      <c r="E245" s="27"/>
      <c r="F245" s="27"/>
      <c r="G245" s="27"/>
      <c r="H245" s="27"/>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c r="AS245" s="27"/>
      <c r="AT245" s="27"/>
      <c r="AU245" s="27"/>
      <c r="AV245" s="27"/>
      <c r="AW245" s="27"/>
      <c r="AX245" s="27"/>
      <c r="AY245" s="27"/>
      <c r="AZ245" s="27"/>
    </row>
    <row r="246" spans="1:52" ht="11.25" customHeight="1" x14ac:dyDescent="0.2">
      <c r="A246" s="27"/>
      <c r="B246" s="27"/>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c r="AS246" s="27"/>
      <c r="AT246" s="27"/>
      <c r="AU246" s="27"/>
      <c r="AV246" s="27"/>
      <c r="AW246" s="27"/>
      <c r="AX246" s="27"/>
      <c r="AY246" s="27"/>
      <c r="AZ246" s="27"/>
    </row>
    <row r="247" spans="1:52" ht="11.25" customHeight="1" x14ac:dyDescent="0.2">
      <c r="A247" s="27"/>
      <c r="B247" s="27"/>
      <c r="C247" s="27"/>
      <c r="D247" s="27"/>
      <c r="E247" s="27"/>
      <c r="F247" s="27"/>
      <c r="G247" s="27"/>
      <c r="H247" s="27"/>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c r="AS247" s="27"/>
      <c r="AT247" s="27"/>
      <c r="AU247" s="27"/>
      <c r="AV247" s="27"/>
      <c r="AW247" s="27"/>
      <c r="AX247" s="27"/>
      <c r="AY247" s="27"/>
      <c r="AZ247" s="27"/>
    </row>
    <row r="248" spans="1:52" ht="11.25" customHeight="1" x14ac:dyDescent="0.2">
      <c r="A248" s="27"/>
      <c r="B248" s="27"/>
      <c r="C248" s="27"/>
      <c r="D248" s="27"/>
      <c r="E248" s="27"/>
      <c r="F248" s="27"/>
      <c r="G248" s="27"/>
      <c r="H248" s="27"/>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c r="AS248" s="27"/>
      <c r="AT248" s="27"/>
      <c r="AU248" s="27"/>
      <c r="AV248" s="27"/>
      <c r="AW248" s="27"/>
      <c r="AX248" s="27"/>
      <c r="AY248" s="27"/>
      <c r="AZ248" s="27"/>
    </row>
    <row r="249" spans="1:52" ht="11.25" customHeight="1" x14ac:dyDescent="0.2">
      <c r="A249" s="27"/>
      <c r="B249" s="27"/>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c r="AS249" s="27"/>
      <c r="AT249" s="27"/>
      <c r="AU249" s="27"/>
      <c r="AV249" s="27"/>
      <c r="AW249" s="27"/>
      <c r="AX249" s="27"/>
      <c r="AY249" s="27"/>
      <c r="AZ249" s="27"/>
    </row>
    <row r="250" spans="1:52" ht="11.25" customHeight="1" x14ac:dyDescent="0.2">
      <c r="A250" s="27"/>
      <c r="B250" s="27"/>
      <c r="C250" s="27"/>
      <c r="D250" s="27"/>
      <c r="E250" s="27"/>
      <c r="F250" s="27"/>
      <c r="G250" s="27"/>
      <c r="H250" s="27"/>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c r="AS250" s="27"/>
      <c r="AT250" s="27"/>
      <c r="AU250" s="27"/>
      <c r="AV250" s="27"/>
      <c r="AW250" s="27"/>
      <c r="AX250" s="27"/>
      <c r="AY250" s="27"/>
      <c r="AZ250" s="27"/>
    </row>
    <row r="251" spans="1:52" ht="11.25" customHeight="1" x14ac:dyDescent="0.2">
      <c r="A251" s="27"/>
      <c r="B251" s="27"/>
      <c r="C251" s="27"/>
      <c r="D251" s="27"/>
      <c r="E251" s="27"/>
      <c r="F251" s="27"/>
      <c r="G251" s="27"/>
      <c r="H251" s="27"/>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c r="AS251" s="27"/>
      <c r="AT251" s="27"/>
      <c r="AU251" s="27"/>
      <c r="AV251" s="27"/>
      <c r="AW251" s="27"/>
      <c r="AX251" s="27"/>
      <c r="AY251" s="27"/>
      <c r="AZ251" s="27"/>
    </row>
    <row r="252" spans="1:52" ht="11.25" customHeight="1" x14ac:dyDescent="0.2">
      <c r="A252" s="27"/>
      <c r="B252" s="27"/>
      <c r="C252" s="27"/>
      <c r="D252" s="27"/>
      <c r="E252" s="27"/>
      <c r="F252" s="27"/>
      <c r="G252" s="27"/>
      <c r="H252" s="27"/>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c r="AS252" s="27"/>
      <c r="AT252" s="27"/>
      <c r="AU252" s="27"/>
      <c r="AV252" s="27"/>
      <c r="AW252" s="27"/>
      <c r="AX252" s="27"/>
      <c r="AY252" s="27"/>
      <c r="AZ252" s="27"/>
    </row>
    <row r="253" spans="1:52" ht="11.25" customHeight="1" x14ac:dyDescent="0.2">
      <c r="A253" s="27"/>
      <c r="B253" s="27"/>
      <c r="C253" s="27"/>
      <c r="D253" s="27"/>
      <c r="E253" s="27"/>
      <c r="F253" s="27"/>
      <c r="G253" s="27"/>
      <c r="H253" s="27"/>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c r="AS253" s="27"/>
      <c r="AT253" s="27"/>
      <c r="AU253" s="27"/>
      <c r="AV253" s="27"/>
      <c r="AW253" s="27"/>
      <c r="AX253" s="27"/>
      <c r="AY253" s="27"/>
      <c r="AZ253" s="27"/>
    </row>
    <row r="254" spans="1:52" ht="11.25" customHeight="1" x14ac:dyDescent="0.2">
      <c r="A254" s="27"/>
      <c r="B254" s="27"/>
      <c r="C254" s="27"/>
      <c r="D254" s="27"/>
      <c r="E254" s="27"/>
      <c r="F254" s="27"/>
      <c r="G254" s="27"/>
      <c r="H254" s="27"/>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c r="AS254" s="27"/>
      <c r="AT254" s="27"/>
      <c r="AU254" s="27"/>
      <c r="AV254" s="27"/>
      <c r="AW254" s="27"/>
      <c r="AX254" s="27"/>
      <c r="AY254" s="27"/>
      <c r="AZ254" s="27"/>
    </row>
    <row r="255" spans="1:52" ht="11.25" customHeight="1" x14ac:dyDescent="0.2">
      <c r="A255" s="27"/>
      <c r="B255" s="27"/>
      <c r="C255" s="27"/>
      <c r="D255" s="27"/>
      <c r="E255" s="27"/>
      <c r="F255" s="27"/>
      <c r="G255" s="27"/>
      <c r="H255" s="27"/>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c r="AS255" s="27"/>
      <c r="AT255" s="27"/>
      <c r="AU255" s="27"/>
      <c r="AV255" s="27"/>
      <c r="AW255" s="27"/>
      <c r="AX255" s="27"/>
      <c r="AY255" s="27"/>
      <c r="AZ255" s="27"/>
    </row>
    <row r="256" spans="1:52" ht="11.25" customHeight="1" x14ac:dyDescent="0.2">
      <c r="A256" s="27"/>
      <c r="B256" s="27"/>
      <c r="C256" s="27"/>
      <c r="D256" s="27"/>
      <c r="E256" s="27"/>
      <c r="F256" s="27"/>
      <c r="G256" s="27"/>
      <c r="H256" s="27"/>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c r="AS256" s="27"/>
      <c r="AT256" s="27"/>
      <c r="AU256" s="27"/>
      <c r="AV256" s="27"/>
      <c r="AW256" s="27"/>
      <c r="AX256" s="27"/>
      <c r="AY256" s="27"/>
      <c r="AZ256" s="27"/>
    </row>
    <row r="257" spans="1:52" ht="11.25" customHeight="1" x14ac:dyDescent="0.2">
      <c r="A257" s="27"/>
      <c r="B257" s="27"/>
      <c r="C257" s="27"/>
      <c r="D257" s="27"/>
      <c r="E257" s="27"/>
      <c r="F257" s="27"/>
      <c r="G257" s="27"/>
      <c r="H257" s="27"/>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c r="AS257" s="27"/>
      <c r="AT257" s="27"/>
      <c r="AU257" s="27"/>
      <c r="AV257" s="27"/>
      <c r="AW257" s="27"/>
      <c r="AX257" s="27"/>
      <c r="AY257" s="27"/>
      <c r="AZ257" s="27"/>
    </row>
    <row r="258" spans="1:52" ht="11.25" customHeight="1" x14ac:dyDescent="0.2">
      <c r="A258" s="27"/>
      <c r="B258" s="27"/>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c r="AS258" s="27"/>
      <c r="AT258" s="27"/>
      <c r="AU258" s="27"/>
      <c r="AV258" s="27"/>
      <c r="AW258" s="27"/>
      <c r="AX258" s="27"/>
      <c r="AY258" s="27"/>
      <c r="AZ258" s="27"/>
    </row>
    <row r="259" spans="1:52" ht="11.25" customHeight="1" x14ac:dyDescent="0.2">
      <c r="A259" s="27"/>
      <c r="B259" s="27"/>
      <c r="C259" s="27"/>
      <c r="D259" s="27"/>
      <c r="E259" s="27"/>
      <c r="F259" s="27"/>
      <c r="G259" s="27"/>
      <c r="H259" s="27"/>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c r="AS259" s="27"/>
      <c r="AT259" s="27"/>
      <c r="AU259" s="27"/>
      <c r="AV259" s="27"/>
      <c r="AW259" s="27"/>
      <c r="AX259" s="27"/>
      <c r="AY259" s="27"/>
      <c r="AZ259" s="27"/>
    </row>
    <row r="260" spans="1:52" ht="11.25" customHeight="1" x14ac:dyDescent="0.2">
      <c r="A260" s="27"/>
      <c r="B260" s="27"/>
      <c r="C260" s="27"/>
      <c r="D260" s="27"/>
      <c r="E260" s="27"/>
      <c r="F260" s="27"/>
      <c r="G260" s="27"/>
      <c r="H260" s="27"/>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c r="AS260" s="27"/>
      <c r="AT260" s="27"/>
      <c r="AU260" s="27"/>
      <c r="AV260" s="27"/>
      <c r="AW260" s="27"/>
      <c r="AX260" s="27"/>
      <c r="AY260" s="27"/>
      <c r="AZ260" s="27"/>
    </row>
    <row r="261" spans="1:52" ht="11.25" customHeight="1" x14ac:dyDescent="0.2">
      <c r="A261" s="27"/>
      <c r="B261" s="27"/>
      <c r="C261" s="27"/>
      <c r="D261" s="27"/>
      <c r="E261" s="27"/>
      <c r="F261" s="27"/>
      <c r="G261" s="27"/>
      <c r="H261" s="27"/>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c r="AS261" s="27"/>
      <c r="AT261" s="27"/>
      <c r="AU261" s="27"/>
      <c r="AV261" s="27"/>
      <c r="AW261" s="27"/>
      <c r="AX261" s="27"/>
      <c r="AY261" s="27"/>
      <c r="AZ261" s="27"/>
    </row>
    <row r="262" spans="1:52" ht="11.25" customHeight="1" x14ac:dyDescent="0.2">
      <c r="A262" s="27"/>
      <c r="B262" s="27"/>
      <c r="C262" s="27"/>
      <c r="D262" s="27"/>
      <c r="E262" s="27"/>
      <c r="F262" s="27"/>
      <c r="G262" s="27"/>
      <c r="H262" s="27"/>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c r="AS262" s="27"/>
      <c r="AT262" s="27"/>
      <c r="AU262" s="27"/>
      <c r="AV262" s="27"/>
      <c r="AW262" s="27"/>
      <c r="AX262" s="27"/>
      <c r="AY262" s="27"/>
      <c r="AZ262" s="27"/>
    </row>
    <row r="263" spans="1:52" ht="11.25" customHeight="1" x14ac:dyDescent="0.2">
      <c r="A263" s="27"/>
      <c r="B263" s="27"/>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c r="AS263" s="27"/>
      <c r="AT263" s="27"/>
      <c r="AU263" s="27"/>
      <c r="AV263" s="27"/>
      <c r="AW263" s="27"/>
      <c r="AX263" s="27"/>
      <c r="AY263" s="27"/>
      <c r="AZ263" s="27"/>
    </row>
    <row r="264" spans="1:52" ht="11.25" customHeight="1" x14ac:dyDescent="0.2">
      <c r="A264" s="27"/>
      <c r="B264" s="27"/>
      <c r="C264" s="27"/>
      <c r="D264" s="27"/>
      <c r="E264" s="27"/>
      <c r="F264" s="27"/>
      <c r="G264" s="27"/>
      <c r="H264" s="27"/>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c r="AS264" s="27"/>
      <c r="AT264" s="27"/>
      <c r="AU264" s="27"/>
      <c r="AV264" s="27"/>
      <c r="AW264" s="27"/>
      <c r="AX264" s="27"/>
      <c r="AY264" s="27"/>
      <c r="AZ264" s="27"/>
    </row>
    <row r="265" spans="1:52" ht="11.25" customHeight="1" x14ac:dyDescent="0.2">
      <c r="A265" s="27"/>
      <c r="B265" s="27"/>
      <c r="C265" s="27"/>
      <c r="D265" s="27"/>
      <c r="E265" s="27"/>
      <c r="F265" s="27"/>
      <c r="G265" s="27"/>
      <c r="H265" s="27"/>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c r="AS265" s="27"/>
      <c r="AT265" s="27"/>
      <c r="AU265" s="27"/>
      <c r="AV265" s="27"/>
      <c r="AW265" s="27"/>
      <c r="AX265" s="27"/>
      <c r="AY265" s="27"/>
      <c r="AZ265" s="27"/>
    </row>
    <row r="266" spans="1:52" ht="11.25" customHeight="1" x14ac:dyDescent="0.2">
      <c r="A266" s="27"/>
      <c r="B266" s="27"/>
      <c r="C266" s="27"/>
      <c r="D266" s="27"/>
      <c r="E266" s="27"/>
      <c r="F266" s="27"/>
      <c r="G266" s="27"/>
      <c r="H266" s="27"/>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c r="AS266" s="27"/>
      <c r="AT266" s="27"/>
      <c r="AU266" s="27"/>
      <c r="AV266" s="27"/>
      <c r="AW266" s="27"/>
      <c r="AX266" s="27"/>
      <c r="AY266" s="27"/>
      <c r="AZ266" s="27"/>
    </row>
    <row r="267" spans="1:52" ht="11.25" customHeight="1" x14ac:dyDescent="0.2">
      <c r="A267" s="27"/>
      <c r="B267" s="27"/>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c r="AS267" s="27"/>
      <c r="AT267" s="27"/>
      <c r="AU267" s="27"/>
      <c r="AV267" s="27"/>
      <c r="AW267" s="27"/>
      <c r="AX267" s="27"/>
      <c r="AY267" s="27"/>
      <c r="AZ267" s="27"/>
    </row>
    <row r="268" spans="1:52" ht="11.25" customHeight="1" x14ac:dyDescent="0.2">
      <c r="A268" s="27"/>
      <c r="B268" s="27"/>
      <c r="C268" s="27"/>
      <c r="D268" s="27"/>
      <c r="E268" s="27"/>
      <c r="F268" s="27"/>
      <c r="G268" s="27"/>
      <c r="H268" s="27"/>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c r="AS268" s="27"/>
      <c r="AT268" s="27"/>
      <c r="AU268" s="27"/>
      <c r="AV268" s="27"/>
      <c r="AW268" s="27"/>
      <c r="AX268" s="27"/>
      <c r="AY268" s="27"/>
      <c r="AZ268" s="27"/>
    </row>
    <row r="269" spans="1:52" ht="11.25" customHeight="1" x14ac:dyDescent="0.2">
      <c r="A269" s="27"/>
      <c r="B269" s="27"/>
      <c r="C269" s="27"/>
      <c r="D269" s="27"/>
      <c r="E269" s="27"/>
      <c r="F269" s="27"/>
      <c r="G269" s="27"/>
      <c r="H269" s="27"/>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c r="AS269" s="27"/>
      <c r="AT269" s="27"/>
      <c r="AU269" s="27"/>
      <c r="AV269" s="27"/>
      <c r="AW269" s="27"/>
      <c r="AX269" s="27"/>
      <c r="AY269" s="27"/>
      <c r="AZ269" s="27"/>
    </row>
    <row r="270" spans="1:52" ht="11.25" customHeight="1" x14ac:dyDescent="0.2">
      <c r="A270" s="27"/>
      <c r="B270" s="27"/>
      <c r="C270" s="27"/>
      <c r="D270" s="27"/>
      <c r="E270" s="27"/>
      <c r="F270" s="27"/>
      <c r="G270" s="27"/>
      <c r="H270" s="27"/>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c r="AS270" s="27"/>
      <c r="AT270" s="27"/>
      <c r="AU270" s="27"/>
      <c r="AV270" s="27"/>
      <c r="AW270" s="27"/>
      <c r="AX270" s="27"/>
      <c r="AY270" s="27"/>
      <c r="AZ270" s="27"/>
    </row>
    <row r="271" spans="1:52" ht="11.25" customHeight="1" x14ac:dyDescent="0.2">
      <c r="A271" s="27"/>
      <c r="B271" s="27"/>
      <c r="C271" s="27"/>
      <c r="D271" s="27"/>
      <c r="E271" s="27"/>
      <c r="F271" s="27"/>
      <c r="G271" s="27"/>
      <c r="H271" s="27"/>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c r="AS271" s="27"/>
      <c r="AT271" s="27"/>
      <c r="AU271" s="27"/>
      <c r="AV271" s="27"/>
      <c r="AW271" s="27"/>
      <c r="AX271" s="27"/>
      <c r="AY271" s="27"/>
      <c r="AZ271" s="27"/>
    </row>
    <row r="272" spans="1:52" ht="11.25" customHeight="1" x14ac:dyDescent="0.2">
      <c r="A272" s="27"/>
      <c r="B272" s="27"/>
      <c r="C272" s="27"/>
      <c r="D272" s="27"/>
      <c r="E272" s="27"/>
      <c r="F272" s="27"/>
      <c r="G272" s="27"/>
      <c r="H272" s="27"/>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c r="AS272" s="27"/>
      <c r="AT272" s="27"/>
      <c r="AU272" s="27"/>
      <c r="AV272" s="27"/>
      <c r="AW272" s="27"/>
      <c r="AX272" s="27"/>
      <c r="AY272" s="27"/>
      <c r="AZ272" s="27"/>
    </row>
    <row r="273" spans="1:52" ht="11.25" customHeight="1" x14ac:dyDescent="0.2">
      <c r="A273" s="27"/>
      <c r="B273" s="27"/>
      <c r="C273" s="27"/>
      <c r="D273" s="27"/>
      <c r="E273" s="27"/>
      <c r="F273" s="27"/>
      <c r="G273" s="27"/>
      <c r="H273" s="27"/>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c r="AS273" s="27"/>
      <c r="AT273" s="27"/>
      <c r="AU273" s="27"/>
      <c r="AV273" s="27"/>
      <c r="AW273" s="27"/>
      <c r="AX273" s="27"/>
      <c r="AY273" s="27"/>
      <c r="AZ273" s="27"/>
    </row>
    <row r="274" spans="1:52" ht="11.25" customHeight="1" x14ac:dyDescent="0.2">
      <c r="A274" s="27"/>
      <c r="B274" s="27"/>
      <c r="C274" s="27"/>
      <c r="D274" s="27"/>
      <c r="E274" s="27"/>
      <c r="F274" s="27"/>
      <c r="G274" s="27"/>
      <c r="H274" s="27"/>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c r="AS274" s="27"/>
      <c r="AT274" s="27"/>
      <c r="AU274" s="27"/>
      <c r="AV274" s="27"/>
      <c r="AW274" s="27"/>
      <c r="AX274" s="27"/>
      <c r="AY274" s="27"/>
      <c r="AZ274" s="27"/>
    </row>
    <row r="275" spans="1:52" ht="11.25" customHeight="1" x14ac:dyDescent="0.2">
      <c r="A275" s="27"/>
      <c r="B275" s="27"/>
      <c r="C275" s="27"/>
      <c r="D275" s="27"/>
      <c r="E275" s="27"/>
      <c r="F275" s="27"/>
      <c r="G275" s="27"/>
      <c r="H275" s="27"/>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c r="AS275" s="27"/>
      <c r="AT275" s="27"/>
      <c r="AU275" s="27"/>
      <c r="AV275" s="27"/>
      <c r="AW275" s="27"/>
      <c r="AX275" s="27"/>
      <c r="AY275" s="27"/>
      <c r="AZ275" s="27"/>
    </row>
    <row r="276" spans="1:52" ht="11.25" customHeight="1" x14ac:dyDescent="0.2">
      <c r="A276" s="27"/>
      <c r="B276" s="27"/>
      <c r="C276" s="27"/>
      <c r="D276" s="27"/>
      <c r="E276" s="27"/>
      <c r="F276" s="27"/>
      <c r="G276" s="27"/>
      <c r="H276" s="27"/>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c r="AS276" s="27"/>
      <c r="AT276" s="27"/>
      <c r="AU276" s="27"/>
      <c r="AV276" s="27"/>
      <c r="AW276" s="27"/>
      <c r="AX276" s="27"/>
      <c r="AY276" s="27"/>
      <c r="AZ276" s="27"/>
    </row>
    <row r="277" spans="1:52" ht="11.25" customHeight="1" x14ac:dyDescent="0.2">
      <c r="A277" s="27"/>
      <c r="B277" s="27"/>
      <c r="C277" s="27"/>
      <c r="D277" s="27"/>
      <c r="E277" s="27"/>
      <c r="F277" s="27"/>
      <c r="G277" s="27"/>
      <c r="H277" s="27"/>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c r="AS277" s="27"/>
      <c r="AT277" s="27"/>
      <c r="AU277" s="27"/>
      <c r="AV277" s="27"/>
      <c r="AW277" s="27"/>
      <c r="AX277" s="27"/>
      <c r="AY277" s="27"/>
      <c r="AZ277" s="27"/>
    </row>
    <row r="278" spans="1:52" ht="11.25" customHeight="1" x14ac:dyDescent="0.2">
      <c r="A278" s="27"/>
      <c r="B278" s="27"/>
      <c r="C278" s="27"/>
      <c r="D278" s="27"/>
      <c r="E278" s="27"/>
      <c r="F278" s="27"/>
      <c r="G278" s="27"/>
      <c r="H278" s="27"/>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c r="AS278" s="27"/>
      <c r="AT278" s="27"/>
      <c r="AU278" s="27"/>
      <c r="AV278" s="27"/>
      <c r="AW278" s="27"/>
      <c r="AX278" s="27"/>
      <c r="AY278" s="27"/>
      <c r="AZ278" s="27"/>
    </row>
    <row r="279" spans="1:52" ht="11.25" customHeight="1" x14ac:dyDescent="0.2">
      <c r="A279" s="27"/>
      <c r="B279" s="27"/>
      <c r="C279" s="27"/>
      <c r="D279" s="27"/>
      <c r="E279" s="27"/>
      <c r="F279" s="27"/>
      <c r="G279" s="27"/>
      <c r="H279" s="27"/>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c r="AS279" s="27"/>
      <c r="AT279" s="27"/>
      <c r="AU279" s="27"/>
      <c r="AV279" s="27"/>
      <c r="AW279" s="27"/>
      <c r="AX279" s="27"/>
      <c r="AY279" s="27"/>
      <c r="AZ279" s="27"/>
    </row>
    <row r="280" spans="1:52" ht="11.25" customHeight="1" x14ac:dyDescent="0.2">
      <c r="A280" s="27"/>
      <c r="B280" s="27"/>
      <c r="C280" s="27"/>
      <c r="D280" s="27"/>
      <c r="E280" s="27"/>
      <c r="F280" s="27"/>
      <c r="G280" s="27"/>
      <c r="H280" s="27"/>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c r="AS280" s="27"/>
      <c r="AT280" s="27"/>
      <c r="AU280" s="27"/>
      <c r="AV280" s="27"/>
      <c r="AW280" s="27"/>
      <c r="AX280" s="27"/>
      <c r="AY280" s="27"/>
      <c r="AZ280" s="27"/>
    </row>
    <row r="281" spans="1:52" ht="11.25" customHeight="1" x14ac:dyDescent="0.2">
      <c r="A281" s="27"/>
      <c r="B281" s="27"/>
      <c r="C281" s="27"/>
      <c r="D281" s="27"/>
      <c r="E281" s="27"/>
      <c r="F281" s="27"/>
      <c r="G281" s="27"/>
      <c r="H281" s="27"/>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c r="AS281" s="27"/>
      <c r="AT281" s="27"/>
      <c r="AU281" s="27"/>
      <c r="AV281" s="27"/>
      <c r="AW281" s="27"/>
      <c r="AX281" s="27"/>
      <c r="AY281" s="27"/>
      <c r="AZ281" s="27"/>
    </row>
    <row r="282" spans="1:52" ht="11.25" customHeight="1" x14ac:dyDescent="0.2">
      <c r="A282" s="27"/>
      <c r="B282" s="27"/>
      <c r="C282" s="27"/>
      <c r="D282" s="27"/>
      <c r="E282" s="27"/>
      <c r="F282" s="27"/>
      <c r="G282" s="27"/>
      <c r="H282" s="27"/>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c r="AS282" s="27"/>
      <c r="AT282" s="27"/>
      <c r="AU282" s="27"/>
      <c r="AV282" s="27"/>
      <c r="AW282" s="27"/>
      <c r="AX282" s="27"/>
      <c r="AY282" s="27"/>
      <c r="AZ282" s="27"/>
    </row>
    <row r="283" spans="1:52" ht="11.25" customHeight="1" x14ac:dyDescent="0.2">
      <c r="A283" s="27"/>
      <c r="B283" s="27"/>
      <c r="C283" s="27"/>
      <c r="D283" s="27"/>
      <c r="E283" s="27"/>
      <c r="F283" s="27"/>
      <c r="G283" s="27"/>
      <c r="H283" s="27"/>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c r="AS283" s="27"/>
      <c r="AT283" s="27"/>
      <c r="AU283" s="27"/>
      <c r="AV283" s="27"/>
      <c r="AW283" s="27"/>
      <c r="AX283" s="27"/>
      <c r="AY283" s="27"/>
      <c r="AZ283" s="27"/>
    </row>
    <row r="284" spans="1:52" ht="11.25" customHeight="1" x14ac:dyDescent="0.2">
      <c r="A284" s="27"/>
      <c r="B284" s="27"/>
      <c r="C284" s="27"/>
      <c r="D284" s="27"/>
      <c r="E284" s="27"/>
      <c r="F284" s="27"/>
      <c r="G284" s="27"/>
      <c r="H284" s="27"/>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c r="AS284" s="27"/>
      <c r="AT284" s="27"/>
      <c r="AU284" s="27"/>
      <c r="AV284" s="27"/>
      <c r="AW284" s="27"/>
      <c r="AX284" s="27"/>
      <c r="AY284" s="27"/>
      <c r="AZ284" s="27"/>
    </row>
    <row r="285" spans="1:52" ht="11.25" customHeight="1" x14ac:dyDescent="0.2">
      <c r="A285" s="27"/>
      <c r="B285" s="27"/>
      <c r="C285" s="27"/>
      <c r="D285" s="27"/>
      <c r="E285" s="27"/>
      <c r="F285" s="27"/>
      <c r="G285" s="27"/>
      <c r="H285" s="27"/>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c r="AS285" s="27"/>
      <c r="AT285" s="27"/>
      <c r="AU285" s="27"/>
      <c r="AV285" s="27"/>
      <c r="AW285" s="27"/>
      <c r="AX285" s="27"/>
      <c r="AY285" s="27"/>
      <c r="AZ285" s="27"/>
    </row>
    <row r="286" spans="1:52" ht="11.25" customHeight="1" x14ac:dyDescent="0.2">
      <c r="A286" s="27"/>
      <c r="B286" s="27"/>
      <c r="C286" s="27"/>
      <c r="D286" s="27"/>
      <c r="E286" s="27"/>
      <c r="F286" s="27"/>
      <c r="G286" s="27"/>
      <c r="H286" s="27"/>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c r="AS286" s="27"/>
      <c r="AT286" s="27"/>
      <c r="AU286" s="27"/>
      <c r="AV286" s="27"/>
      <c r="AW286" s="27"/>
      <c r="AX286" s="27"/>
      <c r="AY286" s="27"/>
      <c r="AZ286" s="27"/>
    </row>
    <row r="287" spans="1:52" ht="11.25" customHeight="1" x14ac:dyDescent="0.2">
      <c r="A287" s="27"/>
      <c r="B287" s="27"/>
      <c r="C287" s="27"/>
      <c r="D287" s="27"/>
      <c r="E287" s="27"/>
      <c r="F287" s="27"/>
      <c r="G287" s="27"/>
      <c r="H287" s="27"/>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c r="AS287" s="27"/>
      <c r="AT287" s="27"/>
      <c r="AU287" s="27"/>
      <c r="AV287" s="27"/>
      <c r="AW287" s="27"/>
      <c r="AX287" s="27"/>
      <c r="AY287" s="27"/>
      <c r="AZ287" s="27"/>
    </row>
    <row r="288" spans="1:52" ht="11.25" customHeight="1" x14ac:dyDescent="0.2">
      <c r="A288" s="27"/>
      <c r="B288" s="27"/>
      <c r="C288" s="27"/>
      <c r="D288" s="27"/>
      <c r="E288" s="27"/>
      <c r="F288" s="27"/>
      <c r="G288" s="27"/>
      <c r="H288" s="27"/>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c r="AS288" s="27"/>
      <c r="AT288" s="27"/>
      <c r="AU288" s="27"/>
      <c r="AV288" s="27"/>
      <c r="AW288" s="27"/>
      <c r="AX288" s="27"/>
      <c r="AY288" s="27"/>
      <c r="AZ288" s="27"/>
    </row>
    <row r="289" spans="1:52" ht="11.25" customHeight="1" x14ac:dyDescent="0.2">
      <c r="A289" s="27"/>
      <c r="B289" s="27"/>
      <c r="C289" s="27"/>
      <c r="D289" s="27"/>
      <c r="E289" s="27"/>
      <c r="F289" s="27"/>
      <c r="G289" s="27"/>
      <c r="H289" s="27"/>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c r="AS289" s="27"/>
      <c r="AT289" s="27"/>
      <c r="AU289" s="27"/>
      <c r="AV289" s="27"/>
      <c r="AW289" s="27"/>
      <c r="AX289" s="27"/>
      <c r="AY289" s="27"/>
      <c r="AZ289" s="27"/>
    </row>
    <row r="290" spans="1:52" ht="11.25" customHeight="1" x14ac:dyDescent="0.2">
      <c r="A290" s="27"/>
      <c r="B290" s="27"/>
      <c r="C290" s="27"/>
      <c r="D290" s="27"/>
      <c r="E290" s="27"/>
      <c r="F290" s="27"/>
      <c r="G290" s="27"/>
      <c r="H290" s="27"/>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c r="AS290" s="27"/>
      <c r="AT290" s="27"/>
      <c r="AU290" s="27"/>
      <c r="AV290" s="27"/>
      <c r="AW290" s="27"/>
      <c r="AX290" s="27"/>
      <c r="AY290" s="27"/>
      <c r="AZ290" s="27"/>
    </row>
    <row r="291" spans="1:52" ht="11.25" customHeight="1" x14ac:dyDescent="0.2">
      <c r="A291" s="27"/>
      <c r="B291" s="27"/>
      <c r="C291" s="27"/>
      <c r="D291" s="27"/>
      <c r="E291" s="27"/>
      <c r="F291" s="27"/>
      <c r="G291" s="27"/>
      <c r="H291" s="27"/>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c r="AS291" s="27"/>
      <c r="AT291" s="27"/>
      <c r="AU291" s="27"/>
      <c r="AV291" s="27"/>
      <c r="AW291" s="27"/>
      <c r="AX291" s="27"/>
      <c r="AY291" s="27"/>
      <c r="AZ291" s="27"/>
    </row>
    <row r="292" spans="1:52" ht="11.25" customHeight="1" x14ac:dyDescent="0.2">
      <c r="A292" s="27"/>
      <c r="B292" s="27"/>
      <c r="C292" s="27"/>
      <c r="D292" s="27"/>
      <c r="E292" s="27"/>
      <c r="F292" s="27"/>
      <c r="G292" s="27"/>
      <c r="H292" s="27"/>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c r="AS292" s="27"/>
      <c r="AT292" s="27"/>
      <c r="AU292" s="27"/>
      <c r="AV292" s="27"/>
      <c r="AW292" s="27"/>
      <c r="AX292" s="27"/>
      <c r="AY292" s="27"/>
      <c r="AZ292" s="27"/>
    </row>
    <row r="293" spans="1:52" ht="11.25" customHeight="1" x14ac:dyDescent="0.2">
      <c r="A293" s="27"/>
      <c r="B293" s="27"/>
      <c r="C293" s="27"/>
      <c r="D293" s="27"/>
      <c r="E293" s="27"/>
      <c r="F293" s="27"/>
      <c r="G293" s="27"/>
      <c r="H293" s="27"/>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c r="AS293" s="27"/>
      <c r="AT293" s="27"/>
      <c r="AU293" s="27"/>
      <c r="AV293" s="27"/>
      <c r="AW293" s="27"/>
      <c r="AX293" s="27"/>
      <c r="AY293" s="27"/>
      <c r="AZ293" s="27"/>
    </row>
    <row r="294" spans="1:52" ht="11.25" customHeight="1" x14ac:dyDescent="0.2">
      <c r="A294" s="27"/>
      <c r="B294" s="27"/>
      <c r="C294" s="27"/>
      <c r="D294" s="27"/>
      <c r="E294" s="27"/>
      <c r="F294" s="27"/>
      <c r="G294" s="27"/>
      <c r="H294" s="27"/>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c r="AS294" s="27"/>
      <c r="AT294" s="27"/>
      <c r="AU294" s="27"/>
      <c r="AV294" s="27"/>
      <c r="AW294" s="27"/>
      <c r="AX294" s="27"/>
      <c r="AY294" s="27"/>
      <c r="AZ294" s="27"/>
    </row>
    <row r="295" spans="1:52" ht="11.25" customHeight="1" x14ac:dyDescent="0.2">
      <c r="A295" s="27"/>
      <c r="B295" s="27"/>
      <c r="C295" s="27"/>
      <c r="D295" s="27"/>
      <c r="E295" s="27"/>
      <c r="F295" s="27"/>
      <c r="G295" s="27"/>
      <c r="H295" s="27"/>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c r="AS295" s="27"/>
      <c r="AT295" s="27"/>
      <c r="AU295" s="27"/>
      <c r="AV295" s="27"/>
      <c r="AW295" s="27"/>
      <c r="AX295" s="27"/>
      <c r="AY295" s="27"/>
      <c r="AZ295" s="27"/>
    </row>
    <row r="296" spans="1:52" ht="11.25" customHeight="1" x14ac:dyDescent="0.2">
      <c r="A296" s="27"/>
      <c r="B296" s="27"/>
      <c r="C296" s="27"/>
      <c r="D296" s="27"/>
      <c r="E296" s="27"/>
      <c r="F296" s="27"/>
      <c r="G296" s="27"/>
      <c r="H296" s="27"/>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c r="AS296" s="27"/>
      <c r="AT296" s="27"/>
      <c r="AU296" s="27"/>
      <c r="AV296" s="27"/>
      <c r="AW296" s="27"/>
      <c r="AX296" s="27"/>
      <c r="AY296" s="27"/>
      <c r="AZ296" s="27"/>
    </row>
    <row r="297" spans="1:52" ht="11.25" customHeight="1" x14ac:dyDescent="0.2">
      <c r="A297" s="27"/>
      <c r="B297" s="27"/>
      <c r="C297" s="27"/>
      <c r="D297" s="27"/>
      <c r="E297" s="27"/>
      <c r="F297" s="27"/>
      <c r="G297" s="27"/>
      <c r="H297" s="27"/>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c r="AS297" s="27"/>
      <c r="AT297" s="27"/>
      <c r="AU297" s="27"/>
      <c r="AV297" s="27"/>
      <c r="AW297" s="27"/>
      <c r="AX297" s="27"/>
      <c r="AY297" s="27"/>
      <c r="AZ297" s="27"/>
    </row>
    <row r="298" spans="1:52" ht="11.25" customHeight="1" x14ac:dyDescent="0.2">
      <c r="A298" s="27"/>
      <c r="B298" s="27"/>
      <c r="C298" s="27"/>
      <c r="D298" s="27"/>
      <c r="E298" s="27"/>
      <c r="F298" s="27"/>
      <c r="G298" s="27"/>
      <c r="H298" s="27"/>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c r="AS298" s="27"/>
      <c r="AT298" s="27"/>
      <c r="AU298" s="27"/>
      <c r="AV298" s="27"/>
      <c r="AW298" s="27"/>
      <c r="AX298" s="27"/>
      <c r="AY298" s="27"/>
      <c r="AZ298" s="27"/>
    </row>
    <row r="299" spans="1:52" ht="11.25" customHeight="1" x14ac:dyDescent="0.2">
      <c r="A299" s="27"/>
      <c r="B299" s="27"/>
      <c r="C299" s="27"/>
      <c r="D299" s="27"/>
      <c r="E299" s="27"/>
      <c r="F299" s="27"/>
      <c r="G299" s="27"/>
      <c r="H299" s="27"/>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c r="AS299" s="27"/>
      <c r="AT299" s="27"/>
      <c r="AU299" s="27"/>
      <c r="AV299" s="27"/>
      <c r="AW299" s="27"/>
      <c r="AX299" s="27"/>
      <c r="AY299" s="27"/>
      <c r="AZ299" s="27"/>
    </row>
    <row r="300" spans="1:52" ht="11.25" customHeight="1" x14ac:dyDescent="0.2">
      <c r="A300" s="27"/>
      <c r="B300" s="27"/>
      <c r="C300" s="27"/>
      <c r="D300" s="27"/>
      <c r="E300" s="27"/>
      <c r="F300" s="27"/>
      <c r="G300" s="27"/>
      <c r="H300" s="27"/>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c r="AS300" s="27"/>
      <c r="AT300" s="27"/>
      <c r="AU300" s="27"/>
      <c r="AV300" s="27"/>
      <c r="AW300" s="27"/>
      <c r="AX300" s="27"/>
      <c r="AY300" s="27"/>
      <c r="AZ300" s="27"/>
    </row>
    <row r="301" spans="1:52" ht="11.25" customHeight="1" x14ac:dyDescent="0.2">
      <c r="A301" s="27"/>
      <c r="B301" s="27"/>
      <c r="C301" s="27"/>
      <c r="D301" s="27"/>
      <c r="E301" s="27"/>
      <c r="F301" s="27"/>
      <c r="G301" s="27"/>
      <c r="H301" s="27"/>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c r="AS301" s="27"/>
      <c r="AT301" s="27"/>
      <c r="AU301" s="27"/>
      <c r="AV301" s="27"/>
      <c r="AW301" s="27"/>
      <c r="AX301" s="27"/>
      <c r="AY301" s="27"/>
      <c r="AZ301" s="27"/>
    </row>
    <row r="302" spans="1:52" ht="11.25" customHeight="1" x14ac:dyDescent="0.2">
      <c r="A302" s="27"/>
      <c r="B302" s="27"/>
      <c r="C302" s="27"/>
      <c r="D302" s="27"/>
      <c r="E302" s="27"/>
      <c r="F302" s="27"/>
      <c r="G302" s="27"/>
      <c r="H302" s="27"/>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c r="AS302" s="27"/>
      <c r="AT302" s="27"/>
      <c r="AU302" s="27"/>
      <c r="AV302" s="27"/>
      <c r="AW302" s="27"/>
      <c r="AX302" s="27"/>
      <c r="AY302" s="27"/>
      <c r="AZ302" s="27"/>
    </row>
    <row r="303" spans="1:52" ht="11.25" customHeight="1" x14ac:dyDescent="0.2">
      <c r="A303" s="27"/>
      <c r="B303" s="27"/>
      <c r="C303" s="27"/>
      <c r="D303" s="27"/>
      <c r="E303" s="27"/>
      <c r="F303" s="27"/>
      <c r="G303" s="27"/>
      <c r="H303" s="27"/>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c r="AS303" s="27"/>
      <c r="AT303" s="27"/>
      <c r="AU303" s="27"/>
      <c r="AV303" s="27"/>
      <c r="AW303" s="27"/>
      <c r="AX303" s="27"/>
      <c r="AY303" s="27"/>
      <c r="AZ303" s="27"/>
    </row>
    <row r="304" spans="1:52" ht="11.25" customHeight="1" x14ac:dyDescent="0.2">
      <c r="A304" s="27"/>
      <c r="B304" s="27"/>
      <c r="C304" s="27"/>
      <c r="D304" s="27"/>
      <c r="E304" s="27"/>
      <c r="F304" s="27"/>
      <c r="G304" s="27"/>
      <c r="H304" s="27"/>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c r="AS304" s="27"/>
      <c r="AT304" s="27"/>
      <c r="AU304" s="27"/>
      <c r="AV304" s="27"/>
      <c r="AW304" s="27"/>
      <c r="AX304" s="27"/>
      <c r="AY304" s="27"/>
      <c r="AZ304" s="27"/>
    </row>
    <row r="305" spans="1:52" ht="11.25" customHeight="1" x14ac:dyDescent="0.2">
      <c r="A305" s="27"/>
      <c r="B305" s="27"/>
      <c r="C305" s="27"/>
      <c r="D305" s="27"/>
      <c r="E305" s="27"/>
      <c r="F305" s="27"/>
      <c r="G305" s="27"/>
      <c r="H305" s="27"/>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c r="AS305" s="27"/>
      <c r="AT305" s="27"/>
      <c r="AU305" s="27"/>
      <c r="AV305" s="27"/>
      <c r="AW305" s="27"/>
      <c r="AX305" s="27"/>
      <c r="AY305" s="27"/>
      <c r="AZ305" s="27"/>
    </row>
    <row r="306" spans="1:52" ht="11.25" customHeight="1" x14ac:dyDescent="0.2">
      <c r="A306" s="27"/>
      <c r="B306" s="27"/>
      <c r="C306" s="27"/>
      <c r="D306" s="27"/>
      <c r="E306" s="27"/>
      <c r="F306" s="27"/>
      <c r="G306" s="27"/>
      <c r="H306" s="27"/>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c r="AS306" s="27"/>
      <c r="AT306" s="27"/>
      <c r="AU306" s="27"/>
      <c r="AV306" s="27"/>
      <c r="AW306" s="27"/>
      <c r="AX306" s="27"/>
      <c r="AY306" s="27"/>
      <c r="AZ306" s="27"/>
    </row>
    <row r="307" spans="1:52" ht="11.25" customHeight="1" x14ac:dyDescent="0.2">
      <c r="A307" s="27"/>
      <c r="B307" s="27"/>
      <c r="C307" s="27"/>
      <c r="D307" s="27"/>
      <c r="E307" s="27"/>
      <c r="F307" s="27"/>
      <c r="G307" s="27"/>
      <c r="H307" s="27"/>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c r="AS307" s="27"/>
      <c r="AT307" s="27"/>
      <c r="AU307" s="27"/>
      <c r="AV307" s="27"/>
      <c r="AW307" s="27"/>
      <c r="AX307" s="27"/>
      <c r="AY307" s="27"/>
      <c r="AZ307" s="27"/>
    </row>
    <row r="308" spans="1:52" ht="11.25" customHeight="1" x14ac:dyDescent="0.2">
      <c r="A308" s="27"/>
      <c r="B308" s="27"/>
      <c r="C308" s="27"/>
      <c r="D308" s="27"/>
      <c r="E308" s="27"/>
      <c r="F308" s="27"/>
      <c r="G308" s="27"/>
      <c r="H308" s="27"/>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c r="AS308" s="27"/>
      <c r="AT308" s="27"/>
      <c r="AU308" s="27"/>
      <c r="AV308" s="27"/>
      <c r="AW308" s="27"/>
      <c r="AX308" s="27"/>
      <c r="AY308" s="27"/>
      <c r="AZ308" s="27"/>
    </row>
    <row r="309" spans="1:52" ht="11.25" customHeight="1" x14ac:dyDescent="0.2">
      <c r="A309" s="27"/>
      <c r="B309" s="27"/>
      <c r="C309" s="27"/>
      <c r="D309" s="27"/>
      <c r="E309" s="27"/>
      <c r="F309" s="27"/>
      <c r="G309" s="27"/>
      <c r="H309" s="27"/>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c r="AS309" s="27"/>
      <c r="AT309" s="27"/>
      <c r="AU309" s="27"/>
      <c r="AV309" s="27"/>
      <c r="AW309" s="27"/>
      <c r="AX309" s="27"/>
      <c r="AY309" s="27"/>
      <c r="AZ309" s="27"/>
    </row>
    <row r="310" spans="1:52" ht="11.25" customHeight="1" x14ac:dyDescent="0.2">
      <c r="A310" s="27"/>
      <c r="B310" s="27"/>
      <c r="C310" s="27"/>
      <c r="D310" s="27"/>
      <c r="E310" s="27"/>
      <c r="F310" s="27"/>
      <c r="G310" s="27"/>
      <c r="H310" s="27"/>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c r="AS310" s="27"/>
      <c r="AT310" s="27"/>
      <c r="AU310" s="27"/>
      <c r="AV310" s="27"/>
      <c r="AW310" s="27"/>
      <c r="AX310" s="27"/>
      <c r="AY310" s="27"/>
      <c r="AZ310" s="27"/>
    </row>
    <row r="311" spans="1:52" ht="11.25" customHeight="1" x14ac:dyDescent="0.2">
      <c r="A311" s="27"/>
      <c r="B311" s="27"/>
      <c r="C311" s="27"/>
      <c r="D311" s="27"/>
      <c r="E311" s="27"/>
      <c r="F311" s="27"/>
      <c r="G311" s="27"/>
      <c r="H311" s="27"/>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c r="AS311" s="27"/>
      <c r="AT311" s="27"/>
      <c r="AU311" s="27"/>
      <c r="AV311" s="27"/>
      <c r="AW311" s="27"/>
      <c r="AX311" s="27"/>
      <c r="AY311" s="27"/>
      <c r="AZ311" s="27"/>
    </row>
    <row r="312" spans="1:52" ht="11.25" customHeight="1" x14ac:dyDescent="0.2">
      <c r="A312" s="27"/>
      <c r="B312" s="27"/>
      <c r="C312" s="27"/>
      <c r="D312" s="27"/>
      <c r="E312" s="27"/>
      <c r="F312" s="27"/>
      <c r="G312" s="27"/>
      <c r="H312" s="27"/>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c r="AS312" s="27"/>
      <c r="AT312" s="27"/>
      <c r="AU312" s="27"/>
      <c r="AV312" s="27"/>
      <c r="AW312" s="27"/>
      <c r="AX312" s="27"/>
      <c r="AY312" s="27"/>
      <c r="AZ312" s="27"/>
    </row>
    <row r="313" spans="1:52" ht="11.25" customHeight="1" x14ac:dyDescent="0.2">
      <c r="A313" s="27"/>
      <c r="B313" s="27"/>
      <c r="C313" s="27"/>
      <c r="D313" s="27"/>
      <c r="E313" s="27"/>
      <c r="F313" s="27"/>
      <c r="G313" s="27"/>
      <c r="H313" s="27"/>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c r="AS313" s="27"/>
      <c r="AT313" s="27"/>
      <c r="AU313" s="27"/>
      <c r="AV313" s="27"/>
      <c r="AW313" s="27"/>
      <c r="AX313" s="27"/>
      <c r="AY313" s="27"/>
      <c r="AZ313" s="27"/>
    </row>
    <row r="314" spans="1:52" ht="11.25" customHeight="1" x14ac:dyDescent="0.2">
      <c r="A314" s="27"/>
      <c r="B314" s="27"/>
      <c r="C314" s="27"/>
      <c r="D314" s="27"/>
      <c r="E314" s="27"/>
      <c r="F314" s="27"/>
      <c r="G314" s="27"/>
      <c r="H314" s="27"/>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c r="AS314" s="27"/>
      <c r="AT314" s="27"/>
      <c r="AU314" s="27"/>
      <c r="AV314" s="27"/>
      <c r="AW314" s="27"/>
      <c r="AX314" s="27"/>
      <c r="AY314" s="27"/>
      <c r="AZ314" s="27"/>
    </row>
    <row r="315" spans="1:52" ht="11.25" customHeight="1" x14ac:dyDescent="0.2">
      <c r="A315" s="27"/>
      <c r="B315" s="27"/>
      <c r="C315" s="27"/>
      <c r="D315" s="27"/>
      <c r="E315" s="27"/>
      <c r="F315" s="27"/>
      <c r="G315" s="27"/>
      <c r="H315" s="27"/>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c r="AP315" s="27"/>
      <c r="AQ315" s="27"/>
      <c r="AR315" s="27"/>
      <c r="AS315" s="27"/>
      <c r="AT315" s="27"/>
      <c r="AU315" s="27"/>
      <c r="AV315" s="27"/>
      <c r="AW315" s="27"/>
      <c r="AX315" s="27"/>
      <c r="AY315" s="27"/>
      <c r="AZ315" s="27"/>
    </row>
    <row r="316" spans="1:52" ht="11.25" customHeight="1" x14ac:dyDescent="0.2">
      <c r="A316" s="27"/>
      <c r="B316" s="27"/>
      <c r="C316" s="27"/>
      <c r="D316" s="27"/>
      <c r="E316" s="27"/>
      <c r="F316" s="27"/>
      <c r="G316" s="27"/>
      <c r="H316" s="27"/>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c r="AP316" s="27"/>
      <c r="AQ316" s="27"/>
      <c r="AR316" s="27"/>
      <c r="AS316" s="27"/>
      <c r="AT316" s="27"/>
      <c r="AU316" s="27"/>
      <c r="AV316" s="27"/>
      <c r="AW316" s="27"/>
      <c r="AX316" s="27"/>
      <c r="AY316" s="27"/>
      <c r="AZ316" s="27"/>
    </row>
    <row r="317" spans="1:52" ht="11.25" customHeight="1" x14ac:dyDescent="0.2">
      <c r="A317" s="27"/>
      <c r="B317" s="27"/>
      <c r="C317" s="27"/>
      <c r="D317" s="27"/>
      <c r="E317" s="27"/>
      <c r="F317" s="27"/>
      <c r="G317" s="27"/>
      <c r="H317" s="27"/>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c r="AS317" s="27"/>
      <c r="AT317" s="27"/>
      <c r="AU317" s="27"/>
      <c r="AV317" s="27"/>
      <c r="AW317" s="27"/>
      <c r="AX317" s="27"/>
      <c r="AY317" s="27"/>
      <c r="AZ317" s="27"/>
    </row>
    <row r="318" spans="1:52" ht="11.25" customHeight="1" x14ac:dyDescent="0.2">
      <c r="A318" s="27"/>
      <c r="B318" s="27"/>
      <c r="C318" s="27"/>
      <c r="D318" s="27"/>
      <c r="E318" s="27"/>
      <c r="F318" s="27"/>
      <c r="G318" s="27"/>
      <c r="H318" s="27"/>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c r="AP318" s="27"/>
      <c r="AQ318" s="27"/>
      <c r="AR318" s="27"/>
      <c r="AS318" s="27"/>
      <c r="AT318" s="27"/>
      <c r="AU318" s="27"/>
      <c r="AV318" s="27"/>
      <c r="AW318" s="27"/>
      <c r="AX318" s="27"/>
      <c r="AY318" s="27"/>
      <c r="AZ318" s="27"/>
    </row>
    <row r="319" spans="1:52" ht="11.25" customHeight="1" x14ac:dyDescent="0.2">
      <c r="A319" s="27"/>
      <c r="B319" s="27"/>
      <c r="C319" s="27"/>
      <c r="D319" s="27"/>
      <c r="E319" s="27"/>
      <c r="F319" s="27"/>
      <c r="G319" s="27"/>
      <c r="H319" s="27"/>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c r="AP319" s="27"/>
      <c r="AQ319" s="27"/>
      <c r="AR319" s="27"/>
      <c r="AS319" s="27"/>
      <c r="AT319" s="27"/>
      <c r="AU319" s="27"/>
      <c r="AV319" s="27"/>
      <c r="AW319" s="27"/>
      <c r="AX319" s="27"/>
      <c r="AY319" s="27"/>
      <c r="AZ319" s="27"/>
    </row>
    <row r="320" spans="1:52" ht="11.25" customHeight="1" x14ac:dyDescent="0.2">
      <c r="A320" s="27"/>
      <c r="B320" s="27"/>
      <c r="C320" s="27"/>
      <c r="D320" s="27"/>
      <c r="E320" s="27"/>
      <c r="F320" s="27"/>
      <c r="G320" s="27"/>
      <c r="H320" s="27"/>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c r="AP320" s="27"/>
      <c r="AQ320" s="27"/>
      <c r="AR320" s="27"/>
      <c r="AS320" s="27"/>
      <c r="AT320" s="27"/>
      <c r="AU320" s="27"/>
      <c r="AV320" s="27"/>
      <c r="AW320" s="27"/>
      <c r="AX320" s="27"/>
      <c r="AY320" s="27"/>
      <c r="AZ320" s="27"/>
    </row>
    <row r="321" spans="1:52" ht="11.25" customHeight="1" x14ac:dyDescent="0.2">
      <c r="A321" s="27"/>
      <c r="B321" s="27"/>
      <c r="C321" s="27"/>
      <c r="D321" s="27"/>
      <c r="E321" s="27"/>
      <c r="F321" s="27"/>
      <c r="G321" s="27"/>
      <c r="H321" s="27"/>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c r="AP321" s="27"/>
      <c r="AQ321" s="27"/>
      <c r="AR321" s="27"/>
      <c r="AS321" s="27"/>
      <c r="AT321" s="27"/>
      <c r="AU321" s="27"/>
      <c r="AV321" s="27"/>
      <c r="AW321" s="27"/>
      <c r="AX321" s="27"/>
      <c r="AY321" s="27"/>
      <c r="AZ321" s="27"/>
    </row>
    <row r="322" spans="1:52" ht="11.25" customHeight="1" x14ac:dyDescent="0.2">
      <c r="A322" s="27"/>
      <c r="B322" s="27"/>
      <c r="C322" s="27"/>
      <c r="D322" s="27"/>
      <c r="E322" s="27"/>
      <c r="F322" s="27"/>
      <c r="G322" s="27"/>
      <c r="H322" s="27"/>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c r="AP322" s="27"/>
      <c r="AQ322" s="27"/>
      <c r="AR322" s="27"/>
      <c r="AS322" s="27"/>
      <c r="AT322" s="27"/>
      <c r="AU322" s="27"/>
      <c r="AV322" s="27"/>
      <c r="AW322" s="27"/>
      <c r="AX322" s="27"/>
      <c r="AY322" s="27"/>
      <c r="AZ322" s="27"/>
    </row>
    <row r="323" spans="1:52" ht="11.25" customHeight="1" x14ac:dyDescent="0.2">
      <c r="A323" s="27"/>
      <c r="B323" s="27"/>
      <c r="C323" s="27"/>
      <c r="D323" s="27"/>
      <c r="E323" s="27"/>
      <c r="F323" s="27"/>
      <c r="G323" s="27"/>
      <c r="H323" s="27"/>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c r="AP323" s="27"/>
      <c r="AQ323" s="27"/>
      <c r="AR323" s="27"/>
      <c r="AS323" s="27"/>
      <c r="AT323" s="27"/>
      <c r="AU323" s="27"/>
      <c r="AV323" s="27"/>
      <c r="AW323" s="27"/>
      <c r="AX323" s="27"/>
      <c r="AY323" s="27"/>
      <c r="AZ323" s="27"/>
    </row>
    <row r="324" spans="1:52" ht="11.25" customHeight="1" x14ac:dyDescent="0.2">
      <c r="A324" s="27"/>
      <c r="B324" s="27"/>
      <c r="C324" s="27"/>
      <c r="D324" s="27"/>
      <c r="E324" s="27"/>
      <c r="F324" s="27"/>
      <c r="G324" s="27"/>
      <c r="H324" s="27"/>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c r="AP324" s="27"/>
      <c r="AQ324" s="27"/>
      <c r="AR324" s="27"/>
      <c r="AS324" s="27"/>
      <c r="AT324" s="27"/>
      <c r="AU324" s="27"/>
      <c r="AV324" s="27"/>
      <c r="AW324" s="27"/>
      <c r="AX324" s="27"/>
      <c r="AY324" s="27"/>
      <c r="AZ324" s="27"/>
    </row>
    <row r="325" spans="1:52" ht="15.75" customHeight="1" x14ac:dyDescent="0.2"/>
    <row r="326" spans="1:52" ht="15.75" customHeight="1" x14ac:dyDescent="0.2"/>
    <row r="327" spans="1:52" ht="15.75" customHeight="1" x14ac:dyDescent="0.2"/>
    <row r="328" spans="1:52" ht="15.75" customHeight="1" x14ac:dyDescent="0.2"/>
    <row r="329" spans="1:52" ht="15.75" customHeight="1" x14ac:dyDescent="0.2"/>
    <row r="330" spans="1:52" ht="15.75" customHeight="1" x14ac:dyDescent="0.2"/>
    <row r="331" spans="1:52" ht="15.75" customHeight="1" x14ac:dyDescent="0.2"/>
    <row r="332" spans="1:52" ht="15.75" customHeight="1" x14ac:dyDescent="0.2"/>
    <row r="333" spans="1:52" ht="15.75" customHeight="1" x14ac:dyDescent="0.2"/>
    <row r="334" spans="1:52" ht="15.75" customHeight="1" x14ac:dyDescent="0.2"/>
    <row r="335" spans="1:52" ht="15.75" customHeight="1" x14ac:dyDescent="0.2"/>
    <row r="336" spans="1:52"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63CAE-10AF-8D4F-B840-6F1885E60668}">
  <dimension ref="A1"/>
  <sheetViews>
    <sheetView workbookViewId="0"/>
  </sheetViews>
  <sheetFormatPr baseColWidth="10" defaultRowHeight="15" x14ac:dyDescent="0.2"/>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6FFAB-2AB9-624F-9D8F-ACB91FFB1F64}">
  <dimension ref="D10:G15"/>
  <sheetViews>
    <sheetView workbookViewId="0">
      <selection activeCell="D10" sqref="D10"/>
    </sheetView>
  </sheetViews>
  <sheetFormatPr baseColWidth="10" defaultRowHeight="15" x14ac:dyDescent="0.2"/>
  <sheetData>
    <row r="10" spans="4:7" x14ac:dyDescent="0.2">
      <c r="D10" t="e">
        <f>+#REF!</f>
        <v>#REF!</v>
      </c>
      <c r="E10" t="e">
        <f>+D14</f>
        <v>#REF!</v>
      </c>
      <c r="F10" t="e">
        <f>+E14</f>
        <v>#REF!</v>
      </c>
      <c r="G10" t="e">
        <f>+F14</f>
        <v>#REF!</v>
      </c>
    </row>
    <row r="11" spans="4:7" x14ac:dyDescent="0.2">
      <c r="D11" t="e">
        <f>+SUM(#REF!)</f>
        <v>#REF!</v>
      </c>
      <c r="E11">
        <f>+SUMIFS('ARR by customer'!$E6:$AZ6,'ARR by customer'!$E$3:$AZ$3,"&gt;="&amp;E$2,'ARR by customer'!$E$3:$AZ$3,"&lt;="&amp;E$3)</f>
        <v>0</v>
      </c>
      <c r="F11">
        <f>+SUMIFS('ARR by customer'!$E6:$AZ6,'ARR by customer'!$E$3:$AZ$3,"&gt;="&amp;F$2,'ARR by customer'!$E$3:$AZ$3,"&lt;="&amp;F$3)</f>
        <v>0</v>
      </c>
      <c r="G11">
        <f>+SUMIFS('ARR by customer'!$E6:$AZ6,'ARR by customer'!$E$3:$AZ$3,"&gt;="&amp;G$2,'ARR by customer'!$E$3:$AZ$3,"&lt;="&amp;G$3)</f>
        <v>0</v>
      </c>
    </row>
    <row r="12" spans="4:7" x14ac:dyDescent="0.2">
      <c r="D12" t="e">
        <f>+SUM(#REF!)</f>
        <v>#REF!</v>
      </c>
      <c r="E12">
        <f>+SUMIFS('ARR by customer'!$E7:$AZ7,'ARR by customer'!$E$3:$AZ$3,"&gt;="&amp;E$2,'ARR by customer'!$E$3:$AZ$3,"&lt;="&amp;E$3)</f>
        <v>0</v>
      </c>
      <c r="F12">
        <f>+SUMIFS('ARR by customer'!$E7:$AZ7,'ARR by customer'!$E$3:$AZ$3,"&gt;="&amp;F$2,'ARR by customer'!$E$3:$AZ$3,"&lt;="&amp;F$3)</f>
        <v>0</v>
      </c>
      <c r="G12">
        <f>+SUMIFS('ARR by customer'!$E7:$AZ7,'ARR by customer'!$E$3:$AZ$3,"&gt;="&amp;G$2,'ARR by customer'!$E$3:$AZ$3,"&lt;="&amp;G$3)</f>
        <v>0</v>
      </c>
    </row>
    <row r="13" spans="4:7" x14ac:dyDescent="0.2">
      <c r="D13" t="e">
        <f>+SUM(#REF!)</f>
        <v>#REF!</v>
      </c>
      <c r="E13">
        <f>+SUMIFS('ARR by customer'!$E8:$AZ8,'ARR by customer'!$E$3:$AZ$3,"&gt;="&amp;E$2,'ARR by customer'!$E$3:$AZ$3,"&lt;="&amp;E$3)</f>
        <v>0</v>
      </c>
      <c r="F13">
        <f>+SUMIFS('ARR by customer'!$E8:$AZ8,'ARR by customer'!$E$3:$AZ$3,"&gt;="&amp;F$2,'ARR by customer'!$E$3:$AZ$3,"&lt;="&amp;F$3)</f>
        <v>0</v>
      </c>
      <c r="G13">
        <f>+SUMIFS('ARR by customer'!$E8:$AZ8,'ARR by customer'!$E$3:$AZ$3,"&gt;="&amp;G$2,'ARR by customer'!$E$3:$AZ$3,"&lt;="&amp;G$3)</f>
        <v>0</v>
      </c>
    </row>
    <row r="14" spans="4:7" x14ac:dyDescent="0.2">
      <c r="D14" t="e">
        <f t="shared" ref="D14:G14" si="0">+SUM(D10:D13)</f>
        <v>#REF!</v>
      </c>
      <c r="E14" t="e">
        <f t="shared" si="0"/>
        <v>#REF!</v>
      </c>
      <c r="F14" t="e">
        <f t="shared" si="0"/>
        <v>#REF!</v>
      </c>
      <c r="G14" t="e">
        <f t="shared" si="0"/>
        <v>#REF!</v>
      </c>
    </row>
    <row r="15" spans="4:7" x14ac:dyDescent="0.2">
      <c r="D15" t="e">
        <f t="shared" ref="D15:G15" si="1">+SUM(D14)</f>
        <v>#REF!</v>
      </c>
      <c r="E15" t="e">
        <f t="shared" si="1"/>
        <v>#REF!</v>
      </c>
      <c r="F15" t="e">
        <f t="shared" si="1"/>
        <v>#REF!</v>
      </c>
      <c r="G15" t="e">
        <f t="shared" si="1"/>
        <v>#REF!</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44B69-7464-D240-AA40-972EFB2CF828}">
  <sheetPr>
    <tabColor rgb="FFFFFFFF"/>
  </sheetPr>
  <dimension ref="B1:E32"/>
  <sheetViews>
    <sheetView showGridLines="0" workbookViewId="0">
      <selection activeCell="L33" sqref="L33"/>
    </sheetView>
  </sheetViews>
  <sheetFormatPr baseColWidth="10" defaultColWidth="8.83203125" defaultRowHeight="15" customHeight="1" x14ac:dyDescent="0.15"/>
  <cols>
    <col min="1" max="1" width="8.83203125" style="268"/>
    <col min="2" max="2" width="17" style="268" bestFit="1" customWidth="1"/>
    <col min="3" max="5" width="10.83203125" style="268" customWidth="1"/>
    <col min="6" max="16384" width="8.83203125" style="268"/>
  </cols>
  <sheetData>
    <row r="1" spans="2:5" ht="15" customHeight="1" x14ac:dyDescent="0.15">
      <c r="B1" s="268" t="s">
        <v>1956</v>
      </c>
    </row>
    <row r="2" spans="2:5" ht="15" customHeight="1" x14ac:dyDescent="0.15">
      <c r="B2" s="268" t="s">
        <v>1969</v>
      </c>
    </row>
    <row r="4" spans="2:5" ht="15" customHeight="1" x14ac:dyDescent="0.15">
      <c r="B4" s="276" t="s">
        <v>1970</v>
      </c>
      <c r="C4" s="276" t="s">
        <v>1971</v>
      </c>
      <c r="D4" s="276" t="s">
        <v>1972</v>
      </c>
      <c r="E4" s="276" t="s">
        <v>1973</v>
      </c>
    </row>
    <row r="5" spans="2:5" ht="15" customHeight="1" x14ac:dyDescent="0.15">
      <c r="C5" s="277" t="s">
        <v>1974</v>
      </c>
      <c r="D5" s="278" t="s">
        <v>1975</v>
      </c>
      <c r="E5" s="278" t="s">
        <v>1976</v>
      </c>
    </row>
    <row r="7" spans="2:5" ht="15" customHeight="1" x14ac:dyDescent="0.15">
      <c r="B7" s="269" t="s">
        <v>469</v>
      </c>
    </row>
    <row r="9" spans="2:5" ht="15" customHeight="1" x14ac:dyDescent="0.15">
      <c r="B9" s="268" t="s">
        <v>470</v>
      </c>
      <c r="C9" s="271">
        <f>'is-bs-cfs'!V17</f>
        <v>8311746</v>
      </c>
      <c r="D9" s="272">
        <f>'is-bs-cfs'!Y17</f>
        <v>6329297</v>
      </c>
      <c r="E9" s="272">
        <f>'is-bs-cfs'!AD17</f>
        <v>17018704.300000001</v>
      </c>
    </row>
    <row r="10" spans="2:5" ht="15" customHeight="1" x14ac:dyDescent="0.15">
      <c r="B10" s="268" t="s">
        <v>1</v>
      </c>
      <c r="C10" s="271">
        <f>'is-bs-cfs'!V18</f>
        <v>1411543</v>
      </c>
      <c r="D10" s="272">
        <f>'is-bs-cfs'!Y18</f>
        <v>9761335</v>
      </c>
      <c r="E10" s="272">
        <f>'is-bs-cfs'!AD18</f>
        <v>15456919</v>
      </c>
    </row>
    <row r="11" spans="2:5" ht="15" customHeight="1" x14ac:dyDescent="0.15">
      <c r="B11" s="268" t="s">
        <v>2</v>
      </c>
      <c r="C11" s="271">
        <f>'is-bs-cfs'!V19</f>
        <v>463647</v>
      </c>
      <c r="D11" s="272">
        <f>'is-bs-cfs'!Y19</f>
        <v>2547184</v>
      </c>
      <c r="E11" s="272">
        <f>'is-bs-cfs'!AD19</f>
        <v>5105611</v>
      </c>
    </row>
    <row r="12" spans="2:5" ht="15" customHeight="1" x14ac:dyDescent="0.15">
      <c r="B12" s="268" t="s">
        <v>1977</v>
      </c>
      <c r="C12" s="271">
        <f>'is-bs-cfs'!V20</f>
        <v>-453921.69999999995</v>
      </c>
      <c r="D12" s="272">
        <f>'is-bs-cfs'!Y20</f>
        <v>-1619111.7</v>
      </c>
      <c r="E12" s="272">
        <f>'is-bs-cfs'!AD20</f>
        <v>-2552805</v>
      </c>
    </row>
    <row r="13" spans="2:5" ht="15" customHeight="1" x14ac:dyDescent="0.15">
      <c r="B13" s="270" t="s">
        <v>1978</v>
      </c>
      <c r="C13" s="271">
        <f>'is-bs-cfs'!V22</f>
        <v>9733014.3000000007</v>
      </c>
      <c r="D13" s="272">
        <f>'is-bs-cfs'!Y22</f>
        <v>17018704.300000001</v>
      </c>
      <c r="E13" s="272">
        <f>'is-bs-cfs'!AD22</f>
        <v>35028429.299999997</v>
      </c>
    </row>
    <row r="14" spans="2:5" ht="15" customHeight="1" x14ac:dyDescent="0.15">
      <c r="B14" s="273" t="s">
        <v>1979</v>
      </c>
      <c r="C14" s="279">
        <f>'is-bs-cfs'!V23</f>
        <v>2.1698170093393436</v>
      </c>
      <c r="D14" s="280">
        <f>'is-bs-cfs'!Y23</f>
        <v>1.6888775009294084</v>
      </c>
      <c r="E14" s="280">
        <f>'is-bs-cfs'!AD23</f>
        <v>1.0582312661722431</v>
      </c>
    </row>
    <row r="16" spans="2:5" ht="15" customHeight="1" x14ac:dyDescent="0.15">
      <c r="B16" s="269" t="s">
        <v>480</v>
      </c>
    </row>
    <row r="18" spans="2:5" ht="15" customHeight="1" x14ac:dyDescent="0.15">
      <c r="B18" s="281" t="s">
        <v>481</v>
      </c>
      <c r="C18" s="282">
        <f>'is-bs-cfs'!V31</f>
        <v>0.70119397534974492</v>
      </c>
      <c r="D18" s="282">
        <f>'is-bs-cfs'!Y31</f>
        <v>0.74418775102511381</v>
      </c>
      <c r="E18" s="282">
        <f>'is-bs-cfs'!AD31</f>
        <v>0.85000003789947742</v>
      </c>
    </row>
    <row r="19" spans="2:5" ht="15" customHeight="1" x14ac:dyDescent="0.15">
      <c r="B19" s="281" t="s">
        <v>482</v>
      </c>
      <c r="C19" s="282">
        <f>'is-bs-cfs'!V32</f>
        <v>1.1136210606464954</v>
      </c>
      <c r="D19" s="282">
        <f>'is-bs-cfs'!Y32</f>
        <v>1.146631181946431</v>
      </c>
      <c r="E19" s="282">
        <f>'is-bs-cfs'!AD32</f>
        <v>1.1500000208594023</v>
      </c>
    </row>
    <row r="20" spans="2:5" ht="15" customHeight="1" x14ac:dyDescent="0.15">
      <c r="B20" s="281" t="s">
        <v>485</v>
      </c>
      <c r="C20" s="283">
        <f>'is-bs-cfs'!V35</f>
        <v>21919.564242778568</v>
      </c>
      <c r="D20" s="281" t="s">
        <v>1980</v>
      </c>
      <c r="E20" s="281" t="s">
        <v>1980</v>
      </c>
    </row>
    <row r="21" spans="2:5" ht="15" customHeight="1" x14ac:dyDescent="0.15">
      <c r="B21" s="281" t="s">
        <v>451</v>
      </c>
      <c r="C21" s="284">
        <f>'is-bs-cfs'!V36</f>
        <v>60873.718000000001</v>
      </c>
      <c r="D21" s="281" t="s">
        <v>1980</v>
      </c>
      <c r="E21" s="281" t="s">
        <v>1980</v>
      </c>
    </row>
    <row r="22" spans="2:5" ht="15" customHeight="1" x14ac:dyDescent="0.15">
      <c r="B22" s="281" t="s">
        <v>486</v>
      </c>
      <c r="C22" s="285">
        <f>'is-bs-cfs'!V37</f>
        <v>0.36008256047016163</v>
      </c>
      <c r="D22" s="281" t="s">
        <v>1980</v>
      </c>
      <c r="E22" s="281" t="s">
        <v>1980</v>
      </c>
    </row>
    <row r="23" spans="2:5" ht="15" customHeight="1" x14ac:dyDescent="0.15">
      <c r="B23" s="281" t="s">
        <v>1937</v>
      </c>
      <c r="C23" s="286">
        <f>'is-bs-cfs'!V38</f>
        <v>73.418737589184886</v>
      </c>
      <c r="D23" s="281" t="s">
        <v>1980</v>
      </c>
      <c r="E23" s="281" t="s">
        <v>1980</v>
      </c>
    </row>
    <row r="24" spans="2:5" ht="15" customHeight="1" x14ac:dyDescent="0.15">
      <c r="B24" s="281" t="s">
        <v>487</v>
      </c>
      <c r="C24" s="287">
        <f>'is-bs-cfs'!V39</f>
        <v>0.51884033106044247</v>
      </c>
      <c r="D24" s="281" t="s">
        <v>1980</v>
      </c>
      <c r="E24" s="281" t="s">
        <v>1980</v>
      </c>
    </row>
    <row r="26" spans="2:5" ht="15" customHeight="1" x14ac:dyDescent="0.15">
      <c r="B26" s="269" t="s">
        <v>1963</v>
      </c>
    </row>
    <row r="28" spans="2:5" ht="15" customHeight="1" x14ac:dyDescent="0.15">
      <c r="B28" s="270" t="s">
        <v>1964</v>
      </c>
      <c r="C28" s="271">
        <f>'is-bs-cfs'!V46</f>
        <v>2211596</v>
      </c>
      <c r="D28" s="272">
        <f>'is-bs-cfs'!Y46</f>
        <v>10488382.6</v>
      </c>
      <c r="E28" s="272">
        <f>'is-bs-cfs'!AD46</f>
        <v>24280127</v>
      </c>
    </row>
    <row r="29" spans="2:5" ht="15" customHeight="1" x14ac:dyDescent="0.15">
      <c r="B29" s="270" t="s">
        <v>1965</v>
      </c>
      <c r="C29" s="271">
        <f>'is-bs-cfs'!V51</f>
        <v>1013112</v>
      </c>
      <c r="D29" s="272">
        <f>'is-bs-cfs'!Y51</f>
        <v>5813374.6699999999</v>
      </c>
      <c r="E29" s="272">
        <f>'is-bs-cfs'!AD51</f>
        <v>17828205</v>
      </c>
    </row>
    <row r="30" spans="2:5" ht="15" customHeight="1" x14ac:dyDescent="0.15">
      <c r="B30" s="273" t="s">
        <v>1966</v>
      </c>
      <c r="C30" s="274">
        <f>'is-bs-cfs'!V52</f>
        <v>0.47720997272714427</v>
      </c>
      <c r="D30" s="275">
        <f>'is-bs-cfs'!Y52</f>
        <v>0.57191292871740207</v>
      </c>
      <c r="E30" s="275">
        <f>'is-bs-cfs'!AD52</f>
        <v>0.74010312339188833</v>
      </c>
    </row>
    <row r="31" spans="2:5" ht="15" customHeight="1" x14ac:dyDescent="0.15">
      <c r="B31" s="270" t="s">
        <v>1967</v>
      </c>
      <c r="C31" s="271">
        <f>'is-bs-cfs'!V58</f>
        <v>-9484169</v>
      </c>
      <c r="D31" s="272">
        <f>'is-bs-cfs'!Y58</f>
        <v>-32751563.579999998</v>
      </c>
      <c r="E31" s="272">
        <f>'is-bs-cfs'!AD58</f>
        <v>-27610668</v>
      </c>
    </row>
    <row r="32" spans="2:5" ht="15" customHeight="1" x14ac:dyDescent="0.15">
      <c r="B32" s="270" t="s">
        <v>1968</v>
      </c>
      <c r="C32" s="271">
        <f>'is-bs-cfs'!V60</f>
        <v>-9477287</v>
      </c>
      <c r="D32" s="272">
        <f>'is-bs-cfs'!Y60</f>
        <v>-32707544.93</v>
      </c>
      <c r="E32" s="272">
        <f>'is-bs-cfs'!AD60</f>
        <v>-27483860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AA072-788B-4CC0-82A2-6AC30ED3291D}">
  <dimension ref="A1:AV664"/>
  <sheetViews>
    <sheetView showGridLines="0" topLeftCell="A25" zoomScale="125" zoomScaleNormal="70" workbookViewId="0">
      <pane xSplit="2" topLeftCell="C1" activePane="topRight" state="frozen"/>
      <selection activeCell="I56" sqref="I56"/>
      <selection pane="topRight" activeCell="B38" sqref="B38:B40"/>
    </sheetView>
  </sheetViews>
  <sheetFormatPr baseColWidth="10" defaultColWidth="12.6640625" defaultRowHeight="15" customHeight="1" outlineLevelRow="1" x14ac:dyDescent="0.2"/>
  <cols>
    <col min="1" max="1" width="2.33203125" style="28" customWidth="1"/>
    <col min="2" max="2" width="24" style="28" customWidth="1"/>
    <col min="3" max="3" width="7.6640625" style="28" customWidth="1"/>
    <col min="4" max="4" width="9.33203125" style="28" customWidth="1"/>
    <col min="5" max="5" width="10.1640625" style="28" bestFit="1" customWidth="1"/>
    <col min="6" max="6" width="10.5" style="28" bestFit="1" customWidth="1"/>
    <col min="7" max="7" width="10.6640625" style="28" bestFit="1" customWidth="1"/>
    <col min="8" max="8" width="10.5" style="28" bestFit="1" customWidth="1"/>
    <col min="9" max="9" width="11" style="28" bestFit="1" customWidth="1"/>
    <col min="10" max="10" width="10.1640625" style="28" bestFit="1" customWidth="1"/>
    <col min="11" max="11" width="9.6640625" style="28" bestFit="1" customWidth="1"/>
    <col min="12" max="12" width="10.6640625" style="28" bestFit="1" customWidth="1"/>
    <col min="13" max="13" width="10.5" style="28" bestFit="1" customWidth="1"/>
    <col min="14" max="14" width="10.33203125" style="28" bestFit="1" customWidth="1"/>
    <col min="15" max="15" width="10.6640625" style="28" bestFit="1" customWidth="1"/>
    <col min="16" max="17" width="10.5" style="28" bestFit="1" customWidth="1"/>
    <col min="18" max="18" width="11" style="28" bestFit="1" customWidth="1"/>
    <col min="19" max="19" width="11.1640625" style="28" bestFit="1" customWidth="1"/>
    <col min="20" max="20" width="11" style="28" bestFit="1" customWidth="1"/>
    <col min="21" max="22" width="11.5" style="28" bestFit="1" customWidth="1"/>
    <col min="23" max="23" width="12.5" style="28" bestFit="1" customWidth="1"/>
    <col min="24" max="24" width="11.1640625" style="28" bestFit="1" customWidth="1"/>
    <col min="25" max="25" width="12.83203125" style="28" bestFit="1" customWidth="1"/>
    <col min="26" max="26" width="12" style="28" bestFit="1" customWidth="1"/>
    <col min="27" max="27" width="13" style="28" bestFit="1" customWidth="1"/>
    <col min="28" max="28" width="11.6640625" style="28" bestFit="1" customWidth="1"/>
    <col min="29" max="29" width="12.83203125" style="28" bestFit="1" customWidth="1"/>
    <col min="30" max="30" width="11.6640625" style="28" bestFit="1" customWidth="1"/>
    <col min="31" max="31" width="13" style="28" bestFit="1" customWidth="1"/>
    <col min="32" max="32" width="12.5" style="28" bestFit="1" customWidth="1"/>
    <col min="33" max="33" width="13.1640625" style="28" bestFit="1" customWidth="1"/>
    <col min="34" max="34" width="13.5" style="28" bestFit="1" customWidth="1"/>
    <col min="35" max="36" width="12.5" style="28" bestFit="1" customWidth="1"/>
    <col min="37" max="37" width="13.5" style="28" bestFit="1" customWidth="1"/>
    <col min="38" max="38" width="12.83203125" style="28" bestFit="1" customWidth="1"/>
    <col min="39" max="40" width="13" style="28" bestFit="1" customWidth="1"/>
    <col min="41" max="42" width="13.1640625" style="28" bestFit="1" customWidth="1"/>
    <col min="43" max="43" width="13" style="28" bestFit="1" customWidth="1"/>
    <col min="44" max="44" width="13.1640625" style="28" bestFit="1" customWidth="1"/>
    <col min="45" max="45" width="12.83203125" style="28" bestFit="1" customWidth="1"/>
    <col min="46" max="46" width="12.5" style="28" bestFit="1" customWidth="1"/>
    <col min="47" max="47" width="12.83203125" style="28" bestFit="1" customWidth="1"/>
    <col min="48" max="48" width="9.33203125" style="28" customWidth="1"/>
    <col min="49" max="16384" width="12.6640625" style="28"/>
  </cols>
  <sheetData>
    <row r="1" spans="1:47" ht="11.25" customHeight="1" outlineLevel="1" x14ac:dyDescent="0.2"/>
    <row r="2" spans="1:47" ht="11.25" customHeight="1" outlineLevel="1" x14ac:dyDescent="0.2">
      <c r="B2" s="29" t="s">
        <v>460</v>
      </c>
      <c r="C2" s="29"/>
      <c r="D2" s="29"/>
      <c r="E2" s="30">
        <v>43466</v>
      </c>
      <c r="F2" s="31">
        <f t="shared" ref="F2:AU2" si="0">+E3+1</f>
        <v>43497</v>
      </c>
      <c r="G2" s="31">
        <f t="shared" si="0"/>
        <v>43525</v>
      </c>
      <c r="H2" s="31">
        <f t="shared" si="0"/>
        <v>43556</v>
      </c>
      <c r="I2" s="31">
        <f t="shared" si="0"/>
        <v>43586</v>
      </c>
      <c r="J2" s="31">
        <f t="shared" si="0"/>
        <v>43617</v>
      </c>
      <c r="K2" s="31">
        <f t="shared" si="0"/>
        <v>43647</v>
      </c>
      <c r="L2" s="31">
        <f t="shared" si="0"/>
        <v>43678</v>
      </c>
      <c r="M2" s="31">
        <f t="shared" si="0"/>
        <v>43709</v>
      </c>
      <c r="N2" s="31">
        <f t="shared" si="0"/>
        <v>43739</v>
      </c>
      <c r="O2" s="31">
        <f t="shared" si="0"/>
        <v>43770</v>
      </c>
      <c r="P2" s="31">
        <f t="shared" si="0"/>
        <v>43800</v>
      </c>
      <c r="Q2" s="31">
        <f t="shared" si="0"/>
        <v>43831</v>
      </c>
      <c r="R2" s="31">
        <f t="shared" si="0"/>
        <v>43862</v>
      </c>
      <c r="S2" s="31">
        <f t="shared" si="0"/>
        <v>43891</v>
      </c>
      <c r="T2" s="31">
        <f t="shared" si="0"/>
        <v>43922</v>
      </c>
      <c r="U2" s="31">
        <f t="shared" si="0"/>
        <v>43952</v>
      </c>
      <c r="V2" s="31">
        <f t="shared" si="0"/>
        <v>43983</v>
      </c>
      <c r="W2" s="31">
        <f t="shared" si="0"/>
        <v>44013</v>
      </c>
      <c r="X2" s="31">
        <f t="shared" si="0"/>
        <v>44044</v>
      </c>
      <c r="Y2" s="31">
        <f t="shared" si="0"/>
        <v>44075</v>
      </c>
      <c r="Z2" s="31">
        <f t="shared" si="0"/>
        <v>44105</v>
      </c>
      <c r="AA2" s="31">
        <f t="shared" si="0"/>
        <v>44136</v>
      </c>
      <c r="AB2" s="31">
        <f t="shared" si="0"/>
        <v>44166</v>
      </c>
      <c r="AC2" s="31">
        <f t="shared" si="0"/>
        <v>44197</v>
      </c>
      <c r="AD2" s="31">
        <f t="shared" si="0"/>
        <v>44228</v>
      </c>
      <c r="AE2" s="31">
        <f t="shared" si="0"/>
        <v>44256</v>
      </c>
      <c r="AF2" s="31">
        <f t="shared" si="0"/>
        <v>44287</v>
      </c>
      <c r="AG2" s="31">
        <f t="shared" si="0"/>
        <v>44317</v>
      </c>
      <c r="AH2" s="31">
        <f t="shared" si="0"/>
        <v>44348</v>
      </c>
      <c r="AI2" s="31">
        <f t="shared" si="0"/>
        <v>44378</v>
      </c>
      <c r="AJ2" s="31">
        <f t="shared" si="0"/>
        <v>44409</v>
      </c>
      <c r="AK2" s="31">
        <f t="shared" si="0"/>
        <v>44440</v>
      </c>
      <c r="AL2" s="31">
        <f t="shared" si="0"/>
        <v>44470</v>
      </c>
      <c r="AM2" s="31">
        <f t="shared" si="0"/>
        <v>44501</v>
      </c>
      <c r="AN2" s="31">
        <f t="shared" si="0"/>
        <v>44531</v>
      </c>
      <c r="AO2" s="31">
        <f t="shared" si="0"/>
        <v>44562</v>
      </c>
      <c r="AP2" s="31">
        <f t="shared" si="0"/>
        <v>44593</v>
      </c>
      <c r="AQ2" s="31">
        <f t="shared" si="0"/>
        <v>44621</v>
      </c>
      <c r="AR2" s="31">
        <f t="shared" si="0"/>
        <v>44652</v>
      </c>
      <c r="AS2" s="31">
        <f t="shared" si="0"/>
        <v>44682</v>
      </c>
      <c r="AT2" s="31">
        <f t="shared" si="0"/>
        <v>44713</v>
      </c>
      <c r="AU2" s="31">
        <f t="shared" si="0"/>
        <v>44743</v>
      </c>
    </row>
    <row r="3" spans="1:47" ht="11.25" customHeight="1" outlineLevel="1" x14ac:dyDescent="0.2">
      <c r="A3" s="27"/>
      <c r="B3" s="32" t="s">
        <v>461</v>
      </c>
      <c r="C3" s="32"/>
      <c r="D3" s="32"/>
      <c r="E3" s="33">
        <f t="shared" ref="E3:AU3" si="1">+EOMONTH(E2,0)</f>
        <v>43496</v>
      </c>
      <c r="F3" s="33">
        <f t="shared" si="1"/>
        <v>43524</v>
      </c>
      <c r="G3" s="33">
        <f t="shared" si="1"/>
        <v>43555</v>
      </c>
      <c r="H3" s="33">
        <f t="shared" si="1"/>
        <v>43585</v>
      </c>
      <c r="I3" s="33">
        <f t="shared" si="1"/>
        <v>43616</v>
      </c>
      <c r="J3" s="33">
        <f t="shared" si="1"/>
        <v>43646</v>
      </c>
      <c r="K3" s="33">
        <f t="shared" si="1"/>
        <v>43677</v>
      </c>
      <c r="L3" s="33">
        <f t="shared" si="1"/>
        <v>43708</v>
      </c>
      <c r="M3" s="33">
        <f t="shared" si="1"/>
        <v>43738</v>
      </c>
      <c r="N3" s="33">
        <f t="shared" si="1"/>
        <v>43769</v>
      </c>
      <c r="O3" s="33">
        <f t="shared" si="1"/>
        <v>43799</v>
      </c>
      <c r="P3" s="33">
        <f t="shared" si="1"/>
        <v>43830</v>
      </c>
      <c r="Q3" s="33">
        <f t="shared" si="1"/>
        <v>43861</v>
      </c>
      <c r="R3" s="33">
        <f t="shared" si="1"/>
        <v>43890</v>
      </c>
      <c r="S3" s="33">
        <f t="shared" si="1"/>
        <v>43921</v>
      </c>
      <c r="T3" s="33">
        <f t="shared" si="1"/>
        <v>43951</v>
      </c>
      <c r="U3" s="33">
        <f t="shared" si="1"/>
        <v>43982</v>
      </c>
      <c r="V3" s="33">
        <f t="shared" si="1"/>
        <v>44012</v>
      </c>
      <c r="W3" s="33">
        <f t="shared" si="1"/>
        <v>44043</v>
      </c>
      <c r="X3" s="33">
        <f t="shared" si="1"/>
        <v>44074</v>
      </c>
      <c r="Y3" s="33">
        <f t="shared" si="1"/>
        <v>44104</v>
      </c>
      <c r="Z3" s="33">
        <f t="shared" si="1"/>
        <v>44135</v>
      </c>
      <c r="AA3" s="33">
        <f t="shared" si="1"/>
        <v>44165</v>
      </c>
      <c r="AB3" s="33">
        <f t="shared" si="1"/>
        <v>44196</v>
      </c>
      <c r="AC3" s="33">
        <f t="shared" si="1"/>
        <v>44227</v>
      </c>
      <c r="AD3" s="33">
        <f t="shared" si="1"/>
        <v>44255</v>
      </c>
      <c r="AE3" s="33">
        <f t="shared" si="1"/>
        <v>44286</v>
      </c>
      <c r="AF3" s="33">
        <f t="shared" si="1"/>
        <v>44316</v>
      </c>
      <c r="AG3" s="33">
        <f t="shared" si="1"/>
        <v>44347</v>
      </c>
      <c r="AH3" s="33">
        <f t="shared" si="1"/>
        <v>44377</v>
      </c>
      <c r="AI3" s="33">
        <f t="shared" si="1"/>
        <v>44408</v>
      </c>
      <c r="AJ3" s="33">
        <f t="shared" si="1"/>
        <v>44439</v>
      </c>
      <c r="AK3" s="33">
        <f t="shared" si="1"/>
        <v>44469</v>
      </c>
      <c r="AL3" s="33">
        <f t="shared" si="1"/>
        <v>44500</v>
      </c>
      <c r="AM3" s="33">
        <f t="shared" si="1"/>
        <v>44530</v>
      </c>
      <c r="AN3" s="33">
        <f t="shared" si="1"/>
        <v>44561</v>
      </c>
      <c r="AO3" s="33">
        <f t="shared" si="1"/>
        <v>44592</v>
      </c>
      <c r="AP3" s="33">
        <f t="shared" si="1"/>
        <v>44620</v>
      </c>
      <c r="AQ3" s="33">
        <f t="shared" si="1"/>
        <v>44651</v>
      </c>
      <c r="AR3" s="33">
        <f t="shared" si="1"/>
        <v>44681</v>
      </c>
      <c r="AS3" s="33">
        <f t="shared" si="1"/>
        <v>44712</v>
      </c>
      <c r="AT3" s="33">
        <f t="shared" si="1"/>
        <v>44742</v>
      </c>
      <c r="AU3" s="33">
        <f t="shared" si="1"/>
        <v>44773</v>
      </c>
    </row>
    <row r="4" spans="1:47" ht="11.25" customHeight="1" outlineLevel="1" x14ac:dyDescent="0.2">
      <c r="A4" s="50"/>
      <c r="B4" s="34" t="s">
        <v>462</v>
      </c>
      <c r="C4" s="34"/>
      <c r="D4" s="34"/>
      <c r="E4" s="34">
        <f t="shared" ref="E4:AU4" si="2">+YEAR(E3)+(MONTH(E3)&gt;=2)</f>
        <v>2019</v>
      </c>
      <c r="F4" s="34">
        <f t="shared" si="2"/>
        <v>2020</v>
      </c>
      <c r="G4" s="34">
        <f t="shared" si="2"/>
        <v>2020</v>
      </c>
      <c r="H4" s="34">
        <f t="shared" si="2"/>
        <v>2020</v>
      </c>
      <c r="I4" s="34">
        <f t="shared" si="2"/>
        <v>2020</v>
      </c>
      <c r="J4" s="34">
        <f t="shared" si="2"/>
        <v>2020</v>
      </c>
      <c r="K4" s="34">
        <f t="shared" si="2"/>
        <v>2020</v>
      </c>
      <c r="L4" s="34">
        <f t="shared" si="2"/>
        <v>2020</v>
      </c>
      <c r="M4" s="34">
        <f t="shared" si="2"/>
        <v>2020</v>
      </c>
      <c r="N4" s="34">
        <f t="shared" si="2"/>
        <v>2020</v>
      </c>
      <c r="O4" s="34">
        <f t="shared" si="2"/>
        <v>2020</v>
      </c>
      <c r="P4" s="34">
        <f t="shared" si="2"/>
        <v>2020</v>
      </c>
      <c r="Q4" s="34">
        <f t="shared" si="2"/>
        <v>2020</v>
      </c>
      <c r="R4" s="34">
        <f t="shared" si="2"/>
        <v>2021</v>
      </c>
      <c r="S4" s="34">
        <f t="shared" si="2"/>
        <v>2021</v>
      </c>
      <c r="T4" s="34">
        <f t="shared" si="2"/>
        <v>2021</v>
      </c>
      <c r="U4" s="34">
        <f t="shared" si="2"/>
        <v>2021</v>
      </c>
      <c r="V4" s="34">
        <f t="shared" si="2"/>
        <v>2021</v>
      </c>
      <c r="W4" s="34">
        <f t="shared" si="2"/>
        <v>2021</v>
      </c>
      <c r="X4" s="34">
        <f t="shared" si="2"/>
        <v>2021</v>
      </c>
      <c r="Y4" s="34">
        <f t="shared" si="2"/>
        <v>2021</v>
      </c>
      <c r="Z4" s="34">
        <f t="shared" si="2"/>
        <v>2021</v>
      </c>
      <c r="AA4" s="34">
        <f t="shared" si="2"/>
        <v>2021</v>
      </c>
      <c r="AB4" s="34">
        <f t="shared" si="2"/>
        <v>2021</v>
      </c>
      <c r="AC4" s="34">
        <f t="shared" si="2"/>
        <v>2021</v>
      </c>
      <c r="AD4" s="34">
        <f t="shared" si="2"/>
        <v>2022</v>
      </c>
      <c r="AE4" s="34">
        <f t="shared" si="2"/>
        <v>2022</v>
      </c>
      <c r="AF4" s="34">
        <f t="shared" si="2"/>
        <v>2022</v>
      </c>
      <c r="AG4" s="34">
        <f t="shared" si="2"/>
        <v>2022</v>
      </c>
      <c r="AH4" s="34">
        <f t="shared" si="2"/>
        <v>2022</v>
      </c>
      <c r="AI4" s="34">
        <f t="shared" si="2"/>
        <v>2022</v>
      </c>
      <c r="AJ4" s="34">
        <f t="shared" si="2"/>
        <v>2022</v>
      </c>
      <c r="AK4" s="34">
        <f t="shared" si="2"/>
        <v>2022</v>
      </c>
      <c r="AL4" s="34">
        <f t="shared" si="2"/>
        <v>2022</v>
      </c>
      <c r="AM4" s="34">
        <f t="shared" si="2"/>
        <v>2022</v>
      </c>
      <c r="AN4" s="34">
        <f t="shared" si="2"/>
        <v>2022</v>
      </c>
      <c r="AO4" s="34">
        <f t="shared" si="2"/>
        <v>2022</v>
      </c>
      <c r="AP4" s="34">
        <f t="shared" si="2"/>
        <v>2023</v>
      </c>
      <c r="AQ4" s="34">
        <f t="shared" si="2"/>
        <v>2023</v>
      </c>
      <c r="AR4" s="34">
        <f t="shared" si="2"/>
        <v>2023</v>
      </c>
      <c r="AS4" s="34">
        <f t="shared" si="2"/>
        <v>2023</v>
      </c>
      <c r="AT4" s="34">
        <f t="shared" si="2"/>
        <v>2023</v>
      </c>
      <c r="AU4" s="34">
        <f t="shared" si="2"/>
        <v>2023</v>
      </c>
    </row>
    <row r="5" spans="1:47" ht="11.25" customHeight="1" outlineLevel="1" x14ac:dyDescent="0.2">
      <c r="A5" s="50"/>
      <c r="B5" s="34" t="s">
        <v>463</v>
      </c>
      <c r="C5" s="34"/>
      <c r="D5" s="34"/>
      <c r="E5" s="34">
        <f t="shared" ref="E5:AU5" si="3">+CHOOSE(MONTH(E3),4,1,1,1,2,2,2,3,3,3,4,4)</f>
        <v>4</v>
      </c>
      <c r="F5" s="34">
        <f t="shared" si="3"/>
        <v>1</v>
      </c>
      <c r="G5" s="34">
        <f t="shared" si="3"/>
        <v>1</v>
      </c>
      <c r="H5" s="34">
        <f t="shared" si="3"/>
        <v>1</v>
      </c>
      <c r="I5" s="34">
        <f t="shared" si="3"/>
        <v>2</v>
      </c>
      <c r="J5" s="34">
        <f t="shared" si="3"/>
        <v>2</v>
      </c>
      <c r="K5" s="34">
        <f t="shared" si="3"/>
        <v>2</v>
      </c>
      <c r="L5" s="34">
        <f t="shared" si="3"/>
        <v>3</v>
      </c>
      <c r="M5" s="34">
        <f t="shared" si="3"/>
        <v>3</v>
      </c>
      <c r="N5" s="34">
        <f t="shared" si="3"/>
        <v>3</v>
      </c>
      <c r="O5" s="34">
        <f t="shared" si="3"/>
        <v>4</v>
      </c>
      <c r="P5" s="34">
        <f t="shared" si="3"/>
        <v>4</v>
      </c>
      <c r="Q5" s="34">
        <f t="shared" si="3"/>
        <v>4</v>
      </c>
      <c r="R5" s="34">
        <f t="shared" si="3"/>
        <v>1</v>
      </c>
      <c r="S5" s="34">
        <f t="shared" si="3"/>
        <v>1</v>
      </c>
      <c r="T5" s="34">
        <f t="shared" si="3"/>
        <v>1</v>
      </c>
      <c r="U5" s="34">
        <f t="shared" si="3"/>
        <v>2</v>
      </c>
      <c r="V5" s="34">
        <f t="shared" si="3"/>
        <v>2</v>
      </c>
      <c r="W5" s="34">
        <f t="shared" si="3"/>
        <v>2</v>
      </c>
      <c r="X5" s="34">
        <f t="shared" si="3"/>
        <v>3</v>
      </c>
      <c r="Y5" s="34">
        <f t="shared" si="3"/>
        <v>3</v>
      </c>
      <c r="Z5" s="34">
        <f t="shared" si="3"/>
        <v>3</v>
      </c>
      <c r="AA5" s="34">
        <f t="shared" si="3"/>
        <v>4</v>
      </c>
      <c r="AB5" s="34">
        <f t="shared" si="3"/>
        <v>4</v>
      </c>
      <c r="AC5" s="34">
        <f t="shared" si="3"/>
        <v>4</v>
      </c>
      <c r="AD5" s="34">
        <f t="shared" si="3"/>
        <v>1</v>
      </c>
      <c r="AE5" s="34">
        <f t="shared" si="3"/>
        <v>1</v>
      </c>
      <c r="AF5" s="34">
        <f t="shared" si="3"/>
        <v>1</v>
      </c>
      <c r="AG5" s="34">
        <f t="shared" si="3"/>
        <v>2</v>
      </c>
      <c r="AH5" s="34">
        <f t="shared" si="3"/>
        <v>2</v>
      </c>
      <c r="AI5" s="34">
        <f t="shared" si="3"/>
        <v>2</v>
      </c>
      <c r="AJ5" s="34">
        <f t="shared" si="3"/>
        <v>3</v>
      </c>
      <c r="AK5" s="34">
        <f t="shared" si="3"/>
        <v>3</v>
      </c>
      <c r="AL5" s="34">
        <f t="shared" si="3"/>
        <v>3</v>
      </c>
      <c r="AM5" s="34">
        <f t="shared" si="3"/>
        <v>4</v>
      </c>
      <c r="AN5" s="34">
        <f t="shared" si="3"/>
        <v>4</v>
      </c>
      <c r="AO5" s="34">
        <f t="shared" si="3"/>
        <v>4</v>
      </c>
      <c r="AP5" s="34">
        <f t="shared" si="3"/>
        <v>1</v>
      </c>
      <c r="AQ5" s="34">
        <f t="shared" si="3"/>
        <v>1</v>
      </c>
      <c r="AR5" s="34">
        <f t="shared" si="3"/>
        <v>1</v>
      </c>
      <c r="AS5" s="34">
        <f t="shared" si="3"/>
        <v>2</v>
      </c>
      <c r="AT5" s="34">
        <f t="shared" si="3"/>
        <v>2</v>
      </c>
      <c r="AU5" s="34">
        <f t="shared" si="3"/>
        <v>2</v>
      </c>
    </row>
    <row r="6" spans="1:47" ht="11.25" customHeight="1" outlineLevel="1" x14ac:dyDescent="0.2">
      <c r="A6" s="50"/>
      <c r="B6" s="35" t="s">
        <v>464</v>
      </c>
      <c r="C6" s="35"/>
      <c r="D6" s="35"/>
      <c r="E6" s="35">
        <f t="shared" ref="E6:AU6" si="4">+CHOOSE(MONTH(E3),12,1,2,3,4,5,6,7,8,9,10,11)</f>
        <v>12</v>
      </c>
      <c r="F6" s="35">
        <f t="shared" si="4"/>
        <v>1</v>
      </c>
      <c r="G6" s="35">
        <f t="shared" si="4"/>
        <v>2</v>
      </c>
      <c r="H6" s="35">
        <f t="shared" si="4"/>
        <v>3</v>
      </c>
      <c r="I6" s="35">
        <f t="shared" si="4"/>
        <v>4</v>
      </c>
      <c r="J6" s="35">
        <f t="shared" si="4"/>
        <v>5</v>
      </c>
      <c r="K6" s="35">
        <f t="shared" si="4"/>
        <v>6</v>
      </c>
      <c r="L6" s="35">
        <f t="shared" si="4"/>
        <v>7</v>
      </c>
      <c r="M6" s="35">
        <f t="shared" si="4"/>
        <v>8</v>
      </c>
      <c r="N6" s="35">
        <f t="shared" si="4"/>
        <v>9</v>
      </c>
      <c r="O6" s="35">
        <f t="shared" si="4"/>
        <v>10</v>
      </c>
      <c r="P6" s="35">
        <f t="shared" si="4"/>
        <v>11</v>
      </c>
      <c r="Q6" s="35">
        <f t="shared" si="4"/>
        <v>12</v>
      </c>
      <c r="R6" s="35">
        <f t="shared" si="4"/>
        <v>1</v>
      </c>
      <c r="S6" s="35">
        <f t="shared" si="4"/>
        <v>2</v>
      </c>
      <c r="T6" s="35">
        <f t="shared" si="4"/>
        <v>3</v>
      </c>
      <c r="U6" s="35">
        <f t="shared" si="4"/>
        <v>4</v>
      </c>
      <c r="V6" s="35">
        <f t="shared" si="4"/>
        <v>5</v>
      </c>
      <c r="W6" s="35">
        <f t="shared" si="4"/>
        <v>6</v>
      </c>
      <c r="X6" s="35">
        <f t="shared" si="4"/>
        <v>7</v>
      </c>
      <c r="Y6" s="35">
        <f t="shared" si="4"/>
        <v>8</v>
      </c>
      <c r="Z6" s="35">
        <f t="shared" si="4"/>
        <v>9</v>
      </c>
      <c r="AA6" s="35">
        <f t="shared" si="4"/>
        <v>10</v>
      </c>
      <c r="AB6" s="35">
        <f t="shared" si="4"/>
        <v>11</v>
      </c>
      <c r="AC6" s="35">
        <f t="shared" si="4"/>
        <v>12</v>
      </c>
      <c r="AD6" s="35">
        <f t="shared" si="4"/>
        <v>1</v>
      </c>
      <c r="AE6" s="35">
        <f t="shared" si="4"/>
        <v>2</v>
      </c>
      <c r="AF6" s="35">
        <f t="shared" si="4"/>
        <v>3</v>
      </c>
      <c r="AG6" s="35">
        <f t="shared" si="4"/>
        <v>4</v>
      </c>
      <c r="AH6" s="35">
        <f t="shared" si="4"/>
        <v>5</v>
      </c>
      <c r="AI6" s="35">
        <f t="shared" si="4"/>
        <v>6</v>
      </c>
      <c r="AJ6" s="35">
        <f t="shared" si="4"/>
        <v>7</v>
      </c>
      <c r="AK6" s="35">
        <f t="shared" si="4"/>
        <v>8</v>
      </c>
      <c r="AL6" s="35">
        <f t="shared" si="4"/>
        <v>9</v>
      </c>
      <c r="AM6" s="35">
        <f t="shared" si="4"/>
        <v>10</v>
      </c>
      <c r="AN6" s="35">
        <f t="shared" si="4"/>
        <v>11</v>
      </c>
      <c r="AO6" s="35">
        <f t="shared" si="4"/>
        <v>12</v>
      </c>
      <c r="AP6" s="35">
        <f t="shared" si="4"/>
        <v>1</v>
      </c>
      <c r="AQ6" s="35">
        <f t="shared" si="4"/>
        <v>2</v>
      </c>
      <c r="AR6" s="35">
        <f t="shared" si="4"/>
        <v>3</v>
      </c>
      <c r="AS6" s="35">
        <f t="shared" si="4"/>
        <v>4</v>
      </c>
      <c r="AT6" s="35">
        <f t="shared" si="4"/>
        <v>5</v>
      </c>
      <c r="AU6" s="35">
        <f t="shared" si="4"/>
        <v>6</v>
      </c>
    </row>
    <row r="7" spans="1:47" ht="11.25" customHeight="1" x14ac:dyDescent="0.2">
      <c r="AU7" s="27"/>
    </row>
    <row r="8" spans="1:47" ht="11.25" customHeight="1" x14ac:dyDescent="0.2">
      <c r="A8" s="27"/>
      <c r="B8" s="36"/>
      <c r="C8" s="3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27"/>
      <c r="AN8" s="27"/>
      <c r="AO8" s="27"/>
      <c r="AP8" s="27"/>
      <c r="AQ8" s="27"/>
      <c r="AR8" s="27"/>
      <c r="AS8" s="37"/>
      <c r="AT8" s="37"/>
      <c r="AU8" s="37"/>
    </row>
    <row r="9" spans="1:47" ht="11.25" customHeight="1" x14ac:dyDescent="0.2">
      <c r="A9" s="27"/>
      <c r="B9" s="124" t="s">
        <v>563</v>
      </c>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row>
    <row r="10" spans="1:47" ht="11.25" customHeight="1" outlineLevel="1" x14ac:dyDescent="0.2">
      <c r="A10" s="27"/>
      <c r="B10" s="27"/>
      <c r="C10" s="27"/>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row>
    <row r="11" spans="1:47" ht="15.75" customHeight="1" outlineLevel="1" x14ac:dyDescent="0.2">
      <c r="B11" s="125" t="s">
        <v>469</v>
      </c>
      <c r="C11" s="125"/>
      <c r="D11" s="125"/>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row>
    <row r="12" spans="1:47" ht="15.75" customHeight="1" outlineLevel="1" x14ac:dyDescent="0.2">
      <c r="B12" s="50" t="s">
        <v>564</v>
      </c>
      <c r="C12" s="50"/>
      <c r="D12" s="50"/>
      <c r="E12" s="142">
        <v>0</v>
      </c>
      <c r="F12" s="143">
        <f>+E16</f>
        <v>88512</v>
      </c>
      <c r="G12" s="143">
        <f t="shared" ref="G12:AU12" si="5">+F16</f>
        <v>89292</v>
      </c>
      <c r="H12" s="143">
        <f t="shared" si="5"/>
        <v>90132</v>
      </c>
      <c r="I12" s="143">
        <f t="shared" si="5"/>
        <v>90492</v>
      </c>
      <c r="J12" s="143">
        <f t="shared" si="5"/>
        <v>90372</v>
      </c>
      <c r="K12" s="143">
        <f t="shared" si="5"/>
        <v>91031.88</v>
      </c>
      <c r="L12" s="143">
        <f t="shared" si="5"/>
        <v>99732</v>
      </c>
      <c r="M12" s="143">
        <f t="shared" si="5"/>
        <v>105972</v>
      </c>
      <c r="N12" s="143">
        <f t="shared" si="5"/>
        <v>106992</v>
      </c>
      <c r="O12" s="143">
        <f t="shared" si="5"/>
        <v>114096</v>
      </c>
      <c r="P12" s="143">
        <f t="shared" si="5"/>
        <v>129468</v>
      </c>
      <c r="Q12" s="143">
        <f t="shared" si="5"/>
        <v>219568</v>
      </c>
      <c r="R12" s="143">
        <f t="shared" si="5"/>
        <v>255003.51999999999</v>
      </c>
      <c r="S12" s="143">
        <f t="shared" si="5"/>
        <v>259791.52000000002</v>
      </c>
      <c r="T12" s="143">
        <f t="shared" si="5"/>
        <v>372993.52</v>
      </c>
      <c r="U12" s="143">
        <f t="shared" si="5"/>
        <v>490245.52</v>
      </c>
      <c r="V12" s="143">
        <f t="shared" si="5"/>
        <v>534063.52</v>
      </c>
      <c r="W12" s="143">
        <f t="shared" si="5"/>
        <v>566488</v>
      </c>
      <c r="X12" s="143">
        <f t="shared" si="5"/>
        <v>1037272</v>
      </c>
      <c r="Y12" s="143">
        <f t="shared" si="5"/>
        <v>1177192</v>
      </c>
      <c r="Z12" s="143">
        <f t="shared" si="5"/>
        <v>1248835</v>
      </c>
      <c r="AA12" s="143">
        <f t="shared" si="5"/>
        <v>1371129</v>
      </c>
      <c r="AB12" s="143">
        <f t="shared" si="5"/>
        <v>1426400</v>
      </c>
      <c r="AC12" s="143">
        <f t="shared" si="5"/>
        <v>1701215</v>
      </c>
      <c r="AD12" s="143">
        <f t="shared" si="5"/>
        <v>1823539</v>
      </c>
      <c r="AE12" s="143">
        <f t="shared" si="5"/>
        <v>1911601</v>
      </c>
      <c r="AF12" s="143">
        <f t="shared" si="5"/>
        <v>2524794</v>
      </c>
      <c r="AG12" s="143">
        <f t="shared" si="5"/>
        <v>2717789</v>
      </c>
      <c r="AH12" s="143">
        <f t="shared" si="5"/>
        <v>2967362</v>
      </c>
      <c r="AI12" s="143">
        <f t="shared" si="5"/>
        <v>3430368</v>
      </c>
      <c r="AJ12" s="143">
        <f t="shared" si="5"/>
        <v>3215058</v>
      </c>
      <c r="AK12" s="143">
        <f t="shared" si="5"/>
        <v>3532651</v>
      </c>
      <c r="AL12" s="143">
        <f t="shared" si="5"/>
        <v>4362649</v>
      </c>
      <c r="AM12" s="143">
        <f t="shared" si="5"/>
        <v>4558495</v>
      </c>
      <c r="AN12" s="143">
        <f t="shared" si="5"/>
        <v>5264670</v>
      </c>
      <c r="AO12" s="143">
        <f t="shared" si="5"/>
        <v>6098616</v>
      </c>
      <c r="AP12" s="143">
        <f t="shared" si="5"/>
        <v>6329297</v>
      </c>
      <c r="AQ12" s="143">
        <f t="shared" si="5"/>
        <v>6789889</v>
      </c>
      <c r="AR12" s="143">
        <f t="shared" si="5"/>
        <v>7543664</v>
      </c>
      <c r="AS12" s="143">
        <f t="shared" si="5"/>
        <v>8311746</v>
      </c>
      <c r="AT12" s="143">
        <f t="shared" si="5"/>
        <v>8647601</v>
      </c>
      <c r="AU12" s="143">
        <f t="shared" si="5"/>
        <v>9133481.0999999996</v>
      </c>
    </row>
    <row r="13" spans="1:47" ht="15.75" customHeight="1" outlineLevel="1" x14ac:dyDescent="0.2">
      <c r="B13" s="50" t="s">
        <v>471</v>
      </c>
      <c r="C13" s="50"/>
      <c r="D13" s="50"/>
      <c r="E13" s="143">
        <f>+SUMPRODUCT(--(D$32:D$464=0),--(E$32:E$464&gt;0),E$32:E$464)</f>
        <v>88512</v>
      </c>
      <c r="F13" s="143">
        <f t="shared" ref="F13:AU13" si="6">+SUMPRODUCT(--(E$32:E$464=0),--(F$32:F$464&gt;0),F$32:F$464)</f>
        <v>0</v>
      </c>
      <c r="G13" s="143">
        <f t="shared" si="6"/>
        <v>0</v>
      </c>
      <c r="H13" s="143">
        <f t="shared" si="6"/>
        <v>0</v>
      </c>
      <c r="I13" s="143">
        <f t="shared" si="6"/>
        <v>0</v>
      </c>
      <c r="J13" s="143">
        <f t="shared" si="6"/>
        <v>0</v>
      </c>
      <c r="K13" s="143">
        <f t="shared" si="6"/>
        <v>8520</v>
      </c>
      <c r="L13" s="143">
        <f t="shared" si="6"/>
        <v>6420</v>
      </c>
      <c r="M13" s="143">
        <f t="shared" si="6"/>
        <v>0</v>
      </c>
      <c r="N13" s="143">
        <f t="shared" si="6"/>
        <v>6624</v>
      </c>
      <c r="O13" s="143">
        <f t="shared" si="6"/>
        <v>15000</v>
      </c>
      <c r="P13" s="143">
        <f t="shared" si="6"/>
        <v>89860</v>
      </c>
      <c r="Q13" s="143">
        <f t="shared" si="6"/>
        <v>7499.52</v>
      </c>
      <c r="R13" s="143">
        <f t="shared" si="6"/>
        <v>13980</v>
      </c>
      <c r="S13" s="143">
        <f t="shared" si="6"/>
        <v>112698</v>
      </c>
      <c r="T13" s="143">
        <f t="shared" si="6"/>
        <v>116664</v>
      </c>
      <c r="U13" s="143">
        <f t="shared" si="6"/>
        <v>42270</v>
      </c>
      <c r="V13" s="143">
        <f t="shared" si="6"/>
        <v>30732</v>
      </c>
      <c r="W13" s="143">
        <f t="shared" si="6"/>
        <v>470304</v>
      </c>
      <c r="X13" s="143">
        <f t="shared" si="6"/>
        <v>137159</v>
      </c>
      <c r="Y13" s="143">
        <f t="shared" si="6"/>
        <v>88032</v>
      </c>
      <c r="Z13" s="143">
        <f t="shared" si="6"/>
        <v>79890</v>
      </c>
      <c r="AA13" s="143">
        <f t="shared" si="6"/>
        <v>29400</v>
      </c>
      <c r="AB13" s="143">
        <f t="shared" si="6"/>
        <v>251520</v>
      </c>
      <c r="AC13" s="143">
        <f t="shared" si="6"/>
        <v>133392</v>
      </c>
      <c r="AD13" s="143">
        <f t="shared" si="6"/>
        <v>57333</v>
      </c>
      <c r="AE13" s="143">
        <f t="shared" si="6"/>
        <v>591945</v>
      </c>
      <c r="AF13" s="143">
        <f t="shared" si="6"/>
        <v>220834</v>
      </c>
      <c r="AG13" s="143">
        <f t="shared" si="6"/>
        <v>252030</v>
      </c>
      <c r="AH13" s="143">
        <f t="shared" si="6"/>
        <v>450815</v>
      </c>
      <c r="AI13" s="143">
        <f t="shared" si="6"/>
        <v>270915</v>
      </c>
      <c r="AJ13" s="143">
        <f t="shared" si="6"/>
        <v>417224</v>
      </c>
      <c r="AK13" s="143">
        <f t="shared" si="6"/>
        <v>817312</v>
      </c>
      <c r="AL13" s="143">
        <f t="shared" si="6"/>
        <v>182154</v>
      </c>
      <c r="AM13" s="143">
        <f t="shared" si="6"/>
        <v>738463</v>
      </c>
      <c r="AN13" s="143">
        <f t="shared" si="6"/>
        <v>674473</v>
      </c>
      <c r="AO13" s="143">
        <f t="shared" si="6"/>
        <v>225743</v>
      </c>
      <c r="AP13" s="143">
        <f t="shared" si="6"/>
        <v>380350</v>
      </c>
      <c r="AQ13" s="143">
        <f t="shared" si="6"/>
        <v>609642</v>
      </c>
      <c r="AR13" s="143">
        <f t="shared" si="6"/>
        <v>695754</v>
      </c>
      <c r="AS13" s="143">
        <f t="shared" si="6"/>
        <v>245788</v>
      </c>
      <c r="AT13" s="143">
        <f t="shared" si="6"/>
        <v>459187</v>
      </c>
      <c r="AU13" s="143">
        <f t="shared" si="6"/>
        <v>706568</v>
      </c>
    </row>
    <row r="14" spans="1:47" ht="15.75" customHeight="1" outlineLevel="1" x14ac:dyDescent="0.2">
      <c r="B14" s="50" t="s">
        <v>472</v>
      </c>
      <c r="C14" s="50"/>
      <c r="D14" s="50"/>
      <c r="E14" s="143">
        <f>+SUMPRODUCT(--(D$32:D$464&lt;&gt;0),--(E$32:E$464&gt;D$32:D$464),E$32:E$464)-SUMPRODUCT(--(D$32:D$464&lt;&gt;0),--(E$32:E$464&gt;D$32:D$464),D$32:D$464)</f>
        <v>0</v>
      </c>
      <c r="F14" s="143">
        <f t="shared" ref="F14:AU14" si="7">+SUMPRODUCT(--(E$32:E$464&lt;&gt;0),--(F$32:F$464&gt;E$32:E$464),F$32:F$464)-SUMPRODUCT(--(E$32:E$464&lt;&gt;0),--(F$32:F$464&gt;E$32:E$464),E$32:E$464)</f>
        <v>780</v>
      </c>
      <c r="G14" s="143">
        <f t="shared" si="7"/>
        <v>840</v>
      </c>
      <c r="H14" s="143">
        <f t="shared" si="7"/>
        <v>360</v>
      </c>
      <c r="I14" s="143">
        <f t="shared" si="7"/>
        <v>0</v>
      </c>
      <c r="J14" s="143">
        <f t="shared" si="7"/>
        <v>659.8799999999992</v>
      </c>
      <c r="K14" s="143">
        <f t="shared" si="7"/>
        <v>180.1200000000008</v>
      </c>
      <c r="L14" s="143">
        <f t="shared" si="7"/>
        <v>120</v>
      </c>
      <c r="M14" s="143">
        <f t="shared" si="7"/>
        <v>1020</v>
      </c>
      <c r="N14" s="143">
        <f t="shared" si="7"/>
        <v>480</v>
      </c>
      <c r="O14" s="143">
        <f t="shared" si="7"/>
        <v>600</v>
      </c>
      <c r="P14" s="143">
        <f t="shared" si="7"/>
        <v>420</v>
      </c>
      <c r="Q14" s="143">
        <f t="shared" si="7"/>
        <v>28080</v>
      </c>
      <c r="R14" s="143">
        <f t="shared" si="7"/>
        <v>408</v>
      </c>
      <c r="S14" s="143">
        <f t="shared" si="7"/>
        <v>504</v>
      </c>
      <c r="T14" s="143">
        <f t="shared" si="7"/>
        <v>1248</v>
      </c>
      <c r="U14" s="143">
        <f t="shared" si="7"/>
        <v>1548</v>
      </c>
      <c r="V14" s="143">
        <f t="shared" si="7"/>
        <v>1692.4799999999996</v>
      </c>
      <c r="W14" s="143">
        <f t="shared" si="7"/>
        <v>480</v>
      </c>
      <c r="X14" s="143">
        <f t="shared" si="7"/>
        <v>14341</v>
      </c>
      <c r="Y14" s="143">
        <f t="shared" si="7"/>
        <v>2736</v>
      </c>
      <c r="Z14" s="143">
        <f t="shared" si="7"/>
        <v>50630</v>
      </c>
      <c r="AA14" s="143">
        <f t="shared" si="7"/>
        <v>26015</v>
      </c>
      <c r="AB14" s="143">
        <f t="shared" si="7"/>
        <v>36503</v>
      </c>
      <c r="AC14" s="143">
        <f t="shared" si="7"/>
        <v>9609</v>
      </c>
      <c r="AD14" s="143">
        <f t="shared" si="7"/>
        <v>30729</v>
      </c>
      <c r="AE14" s="143">
        <f t="shared" si="7"/>
        <v>31309</v>
      </c>
      <c r="AF14" s="143">
        <f t="shared" si="7"/>
        <v>37681</v>
      </c>
      <c r="AG14" s="143">
        <f t="shared" si="7"/>
        <v>19113</v>
      </c>
      <c r="AH14" s="143">
        <f t="shared" si="7"/>
        <v>28272</v>
      </c>
      <c r="AI14" s="143">
        <f t="shared" si="7"/>
        <v>7979</v>
      </c>
      <c r="AJ14" s="143">
        <f t="shared" si="7"/>
        <v>14033</v>
      </c>
      <c r="AK14" s="143">
        <f t="shared" si="7"/>
        <v>18686</v>
      </c>
      <c r="AL14" s="143">
        <f t="shared" si="7"/>
        <v>13692</v>
      </c>
      <c r="AM14" s="143">
        <f t="shared" si="7"/>
        <v>50358</v>
      </c>
      <c r="AN14" s="143">
        <f t="shared" si="7"/>
        <v>169811</v>
      </c>
      <c r="AO14" s="143">
        <f t="shared" si="7"/>
        <v>70668</v>
      </c>
      <c r="AP14" s="143">
        <f t="shared" si="7"/>
        <v>113742</v>
      </c>
      <c r="AQ14" s="143">
        <f t="shared" si="7"/>
        <v>265723</v>
      </c>
      <c r="AR14" s="143">
        <f t="shared" si="7"/>
        <v>145617</v>
      </c>
      <c r="AS14" s="143">
        <f t="shared" si="7"/>
        <v>186056</v>
      </c>
      <c r="AT14" s="143">
        <f t="shared" si="7"/>
        <v>189982</v>
      </c>
      <c r="AU14" s="143">
        <f t="shared" si="7"/>
        <v>87609</v>
      </c>
    </row>
    <row r="15" spans="1:47" ht="15.75" customHeight="1" outlineLevel="1" x14ac:dyDescent="0.2">
      <c r="B15" s="50" t="s">
        <v>473</v>
      </c>
      <c r="C15" s="50"/>
      <c r="D15" s="50"/>
      <c r="E15" s="143">
        <f>+-SUMPRODUCT(--(D$32:D$464&gt;0),--(E$32:E$464=0),D$32:D$464)+SUMPRODUCT(--(E$32:E$464&lt;&gt;0),--(E$32:E$464&lt;D$32:D$464),E$32:E$464)-SUMPRODUCT(--(E$32:E$464&lt;&gt;0),--(E$32:E$464&lt;D$32:D$464),D$32:D$464)</f>
        <v>0</v>
      </c>
      <c r="F15" s="143">
        <f t="shared" ref="F15:AU15" si="8">+-SUMPRODUCT(--(E$32:E$464&gt;0),--(F$32:F$464=0),E$32:E$464)+SUMPRODUCT(--(F$32:F$464&lt;&gt;0),--(F$32:F$464&lt;E$32:E$464),F$32:F$464)-SUMPRODUCT(--(F$32:F$464&lt;&gt;0),--(F$32:F$464&lt;E$32:E$464),E$32:E$464)</f>
        <v>0</v>
      </c>
      <c r="G15" s="143">
        <f t="shared" si="8"/>
        <v>0</v>
      </c>
      <c r="H15" s="143">
        <f t="shared" si="8"/>
        <v>0</v>
      </c>
      <c r="I15" s="143">
        <f t="shared" si="8"/>
        <v>-120</v>
      </c>
      <c r="J15" s="143">
        <f t="shared" si="8"/>
        <v>0</v>
      </c>
      <c r="K15" s="143">
        <f t="shared" si="8"/>
        <v>0</v>
      </c>
      <c r="L15" s="143">
        <f t="shared" si="8"/>
        <v>-300</v>
      </c>
      <c r="M15" s="143">
        <f t="shared" si="8"/>
        <v>0</v>
      </c>
      <c r="N15" s="143">
        <f t="shared" si="8"/>
        <v>0</v>
      </c>
      <c r="O15" s="143">
        <f t="shared" si="8"/>
        <v>-228</v>
      </c>
      <c r="P15" s="143">
        <f t="shared" si="8"/>
        <v>-180</v>
      </c>
      <c r="Q15" s="143">
        <f t="shared" si="8"/>
        <v>-144</v>
      </c>
      <c r="R15" s="143">
        <f t="shared" si="8"/>
        <v>-9600</v>
      </c>
      <c r="S15" s="143">
        <f t="shared" si="8"/>
        <v>0</v>
      </c>
      <c r="T15" s="143">
        <f t="shared" si="8"/>
        <v>-660</v>
      </c>
      <c r="U15" s="143">
        <f t="shared" si="8"/>
        <v>0</v>
      </c>
      <c r="V15" s="143">
        <f t="shared" si="8"/>
        <v>0</v>
      </c>
      <c r="W15" s="143">
        <f t="shared" si="8"/>
        <v>0</v>
      </c>
      <c r="X15" s="143">
        <f t="shared" si="8"/>
        <v>-11580</v>
      </c>
      <c r="Y15" s="143">
        <f t="shared" si="8"/>
        <v>-19125</v>
      </c>
      <c r="Z15" s="143">
        <f t="shared" si="8"/>
        <v>-8226</v>
      </c>
      <c r="AA15" s="143">
        <f t="shared" si="8"/>
        <v>-144</v>
      </c>
      <c r="AB15" s="143">
        <f t="shared" si="8"/>
        <v>-13208</v>
      </c>
      <c r="AC15" s="143">
        <f t="shared" si="8"/>
        <v>-20677</v>
      </c>
      <c r="AD15" s="143">
        <f t="shared" si="8"/>
        <v>0</v>
      </c>
      <c r="AE15" s="143">
        <f t="shared" si="8"/>
        <v>-10061</v>
      </c>
      <c r="AF15" s="143">
        <f t="shared" si="8"/>
        <v>-65520</v>
      </c>
      <c r="AG15" s="143">
        <f t="shared" si="8"/>
        <v>-21570</v>
      </c>
      <c r="AH15" s="143">
        <f t="shared" si="8"/>
        <v>-16081</v>
      </c>
      <c r="AI15" s="143">
        <f t="shared" si="8"/>
        <v>-494204</v>
      </c>
      <c r="AJ15" s="143">
        <f t="shared" si="8"/>
        <v>-113664</v>
      </c>
      <c r="AK15" s="143">
        <f t="shared" si="8"/>
        <v>-6000</v>
      </c>
      <c r="AL15" s="143">
        <f t="shared" si="8"/>
        <v>0</v>
      </c>
      <c r="AM15" s="143">
        <f t="shared" si="8"/>
        <v>-82646</v>
      </c>
      <c r="AN15" s="143">
        <f t="shared" si="8"/>
        <v>-10338</v>
      </c>
      <c r="AO15" s="143">
        <f t="shared" si="8"/>
        <v>-65730</v>
      </c>
      <c r="AP15" s="143">
        <f t="shared" si="8"/>
        <v>-33500</v>
      </c>
      <c r="AQ15" s="143">
        <f t="shared" si="8"/>
        <v>-121590</v>
      </c>
      <c r="AR15" s="143">
        <f t="shared" si="8"/>
        <v>-73289</v>
      </c>
      <c r="AS15" s="143">
        <f t="shared" si="8"/>
        <v>-95989</v>
      </c>
      <c r="AT15" s="143">
        <f t="shared" si="8"/>
        <v>-163288.9</v>
      </c>
      <c r="AU15" s="143">
        <f t="shared" si="8"/>
        <v>-194643.8</v>
      </c>
    </row>
    <row r="16" spans="1:47" ht="15.75" customHeight="1" outlineLevel="1" x14ac:dyDescent="0.2">
      <c r="B16" s="61" t="s">
        <v>565</v>
      </c>
      <c r="C16" s="61"/>
      <c r="D16" s="61"/>
      <c r="E16" s="82">
        <f t="shared" ref="E16:AU16" si="9">+SUM(E12:E15)</f>
        <v>88512</v>
      </c>
      <c r="F16" s="82">
        <f t="shared" si="9"/>
        <v>89292</v>
      </c>
      <c r="G16" s="82">
        <f t="shared" si="9"/>
        <v>90132</v>
      </c>
      <c r="H16" s="82">
        <f t="shared" si="9"/>
        <v>90492</v>
      </c>
      <c r="I16" s="82">
        <f t="shared" si="9"/>
        <v>90372</v>
      </c>
      <c r="J16" s="82">
        <f t="shared" si="9"/>
        <v>91031.88</v>
      </c>
      <c r="K16" s="82">
        <f t="shared" si="9"/>
        <v>99732</v>
      </c>
      <c r="L16" s="82">
        <f t="shared" si="9"/>
        <v>105972</v>
      </c>
      <c r="M16" s="82">
        <f t="shared" si="9"/>
        <v>106992</v>
      </c>
      <c r="N16" s="82">
        <f t="shared" si="9"/>
        <v>114096</v>
      </c>
      <c r="O16" s="82">
        <f t="shared" si="9"/>
        <v>129468</v>
      </c>
      <c r="P16" s="82">
        <f t="shared" si="9"/>
        <v>219568</v>
      </c>
      <c r="Q16" s="82">
        <f t="shared" si="9"/>
        <v>255003.51999999999</v>
      </c>
      <c r="R16" s="82">
        <f t="shared" si="9"/>
        <v>259791.52000000002</v>
      </c>
      <c r="S16" s="82">
        <f t="shared" si="9"/>
        <v>372993.52</v>
      </c>
      <c r="T16" s="82">
        <f t="shared" si="9"/>
        <v>490245.52</v>
      </c>
      <c r="U16" s="82">
        <f t="shared" si="9"/>
        <v>534063.52</v>
      </c>
      <c r="V16" s="82">
        <f t="shared" si="9"/>
        <v>566488</v>
      </c>
      <c r="W16" s="82">
        <f t="shared" si="9"/>
        <v>1037272</v>
      </c>
      <c r="X16" s="82">
        <f t="shared" si="9"/>
        <v>1177192</v>
      </c>
      <c r="Y16" s="82">
        <f t="shared" si="9"/>
        <v>1248835</v>
      </c>
      <c r="Z16" s="82">
        <f t="shared" si="9"/>
        <v>1371129</v>
      </c>
      <c r="AA16" s="82">
        <f t="shared" si="9"/>
        <v>1426400</v>
      </c>
      <c r="AB16" s="82">
        <f t="shared" si="9"/>
        <v>1701215</v>
      </c>
      <c r="AC16" s="82">
        <f t="shared" si="9"/>
        <v>1823539</v>
      </c>
      <c r="AD16" s="82">
        <f t="shared" si="9"/>
        <v>1911601</v>
      </c>
      <c r="AE16" s="82">
        <f t="shared" si="9"/>
        <v>2524794</v>
      </c>
      <c r="AF16" s="82">
        <f t="shared" si="9"/>
        <v>2717789</v>
      </c>
      <c r="AG16" s="82">
        <f t="shared" si="9"/>
        <v>2967362</v>
      </c>
      <c r="AH16" s="82">
        <f t="shared" si="9"/>
        <v>3430368</v>
      </c>
      <c r="AI16" s="82">
        <f t="shared" si="9"/>
        <v>3215058</v>
      </c>
      <c r="AJ16" s="82">
        <f t="shared" si="9"/>
        <v>3532651</v>
      </c>
      <c r="AK16" s="82">
        <f t="shared" si="9"/>
        <v>4362649</v>
      </c>
      <c r="AL16" s="82">
        <f t="shared" si="9"/>
        <v>4558495</v>
      </c>
      <c r="AM16" s="82">
        <f t="shared" si="9"/>
        <v>5264670</v>
      </c>
      <c r="AN16" s="82">
        <f t="shared" si="9"/>
        <v>6098616</v>
      </c>
      <c r="AO16" s="82">
        <f t="shared" si="9"/>
        <v>6329297</v>
      </c>
      <c r="AP16" s="82">
        <f t="shared" si="9"/>
        <v>6789889</v>
      </c>
      <c r="AQ16" s="82">
        <f t="shared" si="9"/>
        <v>7543664</v>
      </c>
      <c r="AR16" s="82">
        <f t="shared" si="9"/>
        <v>8311746</v>
      </c>
      <c r="AS16" s="82">
        <f t="shared" si="9"/>
        <v>8647601</v>
      </c>
      <c r="AT16" s="82">
        <f t="shared" si="9"/>
        <v>9133481.0999999996</v>
      </c>
      <c r="AU16" s="82">
        <f t="shared" si="9"/>
        <v>9733014.2999999989</v>
      </c>
    </row>
    <row r="17" spans="2:48" ht="15.75" customHeight="1" outlineLevel="1" x14ac:dyDescent="0.2">
      <c r="B17" s="50" t="s">
        <v>566</v>
      </c>
      <c r="C17" s="50"/>
      <c r="D17" s="127"/>
      <c r="E17" s="58">
        <v>0</v>
      </c>
      <c r="F17" s="58">
        <v>0</v>
      </c>
      <c r="G17" s="58">
        <v>0</v>
      </c>
      <c r="H17" s="58">
        <v>0</v>
      </c>
      <c r="I17" s="58">
        <v>0</v>
      </c>
      <c r="J17" s="58">
        <v>0</v>
      </c>
      <c r="K17" s="58">
        <v>0</v>
      </c>
      <c r="L17" s="58">
        <v>0</v>
      </c>
      <c r="M17" s="58">
        <v>0</v>
      </c>
      <c r="N17" s="58">
        <v>0</v>
      </c>
      <c r="O17" s="58">
        <v>0</v>
      </c>
      <c r="P17" s="58">
        <v>0</v>
      </c>
      <c r="Q17" s="58">
        <v>0</v>
      </c>
      <c r="R17" s="58">
        <v>0</v>
      </c>
      <c r="S17" s="58">
        <v>0</v>
      </c>
      <c r="T17" s="58">
        <v>0</v>
      </c>
      <c r="U17" s="58">
        <v>0</v>
      </c>
      <c r="V17" s="58">
        <v>0</v>
      </c>
      <c r="W17" s="58">
        <v>0</v>
      </c>
      <c r="X17" s="58">
        <v>0</v>
      </c>
      <c r="Y17" s="58">
        <v>0</v>
      </c>
      <c r="Z17" s="58">
        <v>0</v>
      </c>
      <c r="AA17" s="58">
        <v>0</v>
      </c>
      <c r="AB17" s="58">
        <v>0</v>
      </c>
      <c r="AC17" s="58">
        <v>0</v>
      </c>
      <c r="AD17" s="58">
        <v>0</v>
      </c>
      <c r="AE17" s="58">
        <v>0</v>
      </c>
      <c r="AF17" s="58">
        <v>0</v>
      </c>
      <c r="AG17" s="58">
        <v>0</v>
      </c>
      <c r="AH17" s="58">
        <v>0</v>
      </c>
      <c r="AI17" s="58">
        <v>0</v>
      </c>
      <c r="AJ17" s="58">
        <v>0</v>
      </c>
      <c r="AK17" s="58">
        <v>0</v>
      </c>
      <c r="AL17" s="58">
        <v>0</v>
      </c>
      <c r="AM17" s="58">
        <v>0</v>
      </c>
      <c r="AN17" s="58">
        <v>0</v>
      </c>
      <c r="AO17" s="58">
        <v>0</v>
      </c>
      <c r="AP17" s="58">
        <v>0</v>
      </c>
      <c r="AQ17" s="58">
        <v>181064</v>
      </c>
      <c r="AR17" s="58">
        <v>167088</v>
      </c>
      <c r="AS17" s="58">
        <v>155400</v>
      </c>
      <c r="AT17" s="58">
        <v>150048</v>
      </c>
      <c r="AU17" s="58">
        <v>141936</v>
      </c>
    </row>
    <row r="18" spans="2:48" ht="15.75" customHeight="1" outlineLevel="1" x14ac:dyDescent="0.2">
      <c r="B18" s="61" t="s">
        <v>567</v>
      </c>
      <c r="C18" s="61"/>
      <c r="D18" s="61"/>
      <c r="E18" s="82">
        <f t="shared" ref="E18:AU18" si="10">+E16+E17</f>
        <v>88512</v>
      </c>
      <c r="F18" s="82">
        <f t="shared" si="10"/>
        <v>89292</v>
      </c>
      <c r="G18" s="82">
        <f t="shared" si="10"/>
        <v>90132</v>
      </c>
      <c r="H18" s="82">
        <f t="shared" si="10"/>
        <v>90492</v>
      </c>
      <c r="I18" s="82">
        <f t="shared" si="10"/>
        <v>90372</v>
      </c>
      <c r="J18" s="82">
        <f t="shared" si="10"/>
        <v>91031.88</v>
      </c>
      <c r="K18" s="82">
        <f t="shared" si="10"/>
        <v>99732</v>
      </c>
      <c r="L18" s="82">
        <f t="shared" si="10"/>
        <v>105972</v>
      </c>
      <c r="M18" s="82">
        <f t="shared" si="10"/>
        <v>106992</v>
      </c>
      <c r="N18" s="82">
        <f t="shared" si="10"/>
        <v>114096</v>
      </c>
      <c r="O18" s="82">
        <f t="shared" si="10"/>
        <v>129468</v>
      </c>
      <c r="P18" s="82">
        <f t="shared" si="10"/>
        <v>219568</v>
      </c>
      <c r="Q18" s="82">
        <f t="shared" si="10"/>
        <v>255003.51999999999</v>
      </c>
      <c r="R18" s="82">
        <f t="shared" si="10"/>
        <v>259791.52000000002</v>
      </c>
      <c r="S18" s="82">
        <f t="shared" si="10"/>
        <v>372993.52</v>
      </c>
      <c r="T18" s="82">
        <f t="shared" si="10"/>
        <v>490245.52</v>
      </c>
      <c r="U18" s="82">
        <f t="shared" si="10"/>
        <v>534063.52</v>
      </c>
      <c r="V18" s="82">
        <f t="shared" si="10"/>
        <v>566488</v>
      </c>
      <c r="W18" s="82">
        <f t="shared" si="10"/>
        <v>1037272</v>
      </c>
      <c r="X18" s="82">
        <f t="shared" si="10"/>
        <v>1177192</v>
      </c>
      <c r="Y18" s="82">
        <f t="shared" si="10"/>
        <v>1248835</v>
      </c>
      <c r="Z18" s="82">
        <f t="shared" si="10"/>
        <v>1371129</v>
      </c>
      <c r="AA18" s="82">
        <f t="shared" si="10"/>
        <v>1426400</v>
      </c>
      <c r="AB18" s="82">
        <f t="shared" si="10"/>
        <v>1701215</v>
      </c>
      <c r="AC18" s="82">
        <f t="shared" si="10"/>
        <v>1823539</v>
      </c>
      <c r="AD18" s="82">
        <f t="shared" si="10"/>
        <v>1911601</v>
      </c>
      <c r="AE18" s="82">
        <f t="shared" si="10"/>
        <v>2524794</v>
      </c>
      <c r="AF18" s="82">
        <f t="shared" si="10"/>
        <v>2717789</v>
      </c>
      <c r="AG18" s="82">
        <f t="shared" si="10"/>
        <v>2967362</v>
      </c>
      <c r="AH18" s="82">
        <f t="shared" si="10"/>
        <v>3430368</v>
      </c>
      <c r="AI18" s="82">
        <f t="shared" si="10"/>
        <v>3215058</v>
      </c>
      <c r="AJ18" s="82">
        <f t="shared" si="10"/>
        <v>3532651</v>
      </c>
      <c r="AK18" s="82">
        <f t="shared" si="10"/>
        <v>4362649</v>
      </c>
      <c r="AL18" s="82">
        <f t="shared" si="10"/>
        <v>4558495</v>
      </c>
      <c r="AM18" s="82">
        <f t="shared" si="10"/>
        <v>5264670</v>
      </c>
      <c r="AN18" s="82">
        <f t="shared" si="10"/>
        <v>6098616</v>
      </c>
      <c r="AO18" s="82">
        <f t="shared" si="10"/>
        <v>6329297</v>
      </c>
      <c r="AP18" s="82">
        <f t="shared" si="10"/>
        <v>6789889</v>
      </c>
      <c r="AQ18" s="82">
        <f t="shared" si="10"/>
        <v>7724728</v>
      </c>
      <c r="AR18" s="82">
        <f t="shared" si="10"/>
        <v>8478834</v>
      </c>
      <c r="AS18" s="82">
        <f t="shared" si="10"/>
        <v>8803001</v>
      </c>
      <c r="AT18" s="82">
        <f t="shared" si="10"/>
        <v>9283529.0999999996</v>
      </c>
      <c r="AU18" s="82">
        <f t="shared" si="10"/>
        <v>9874950.2999999989</v>
      </c>
    </row>
    <row r="19" spans="2:48" ht="15.75" customHeight="1" outlineLevel="1" x14ac:dyDescent="0.2">
      <c r="B19" s="128" t="s">
        <v>8</v>
      </c>
      <c r="C19" s="128"/>
      <c r="D19" s="128"/>
      <c r="E19" s="93">
        <f t="shared" ref="E19:AU19" si="11">+ROUND(SUM(E$32:E$998)-E16,2)-E465</f>
        <v>0</v>
      </c>
      <c r="F19" s="93">
        <f t="shared" si="11"/>
        <v>0</v>
      </c>
      <c r="G19" s="93">
        <f t="shared" si="11"/>
        <v>0</v>
      </c>
      <c r="H19" s="93">
        <f t="shared" si="11"/>
        <v>0</v>
      </c>
      <c r="I19" s="93">
        <f t="shared" si="11"/>
        <v>0</v>
      </c>
      <c r="J19" s="93">
        <f t="shared" si="11"/>
        <v>0</v>
      </c>
      <c r="K19" s="93">
        <f t="shared" si="11"/>
        <v>0</v>
      </c>
      <c r="L19" s="93">
        <f t="shared" si="11"/>
        <v>0</v>
      </c>
      <c r="M19" s="93">
        <f t="shared" si="11"/>
        <v>0</v>
      </c>
      <c r="N19" s="93">
        <f t="shared" si="11"/>
        <v>0</v>
      </c>
      <c r="O19" s="93">
        <f t="shared" si="11"/>
        <v>0</v>
      </c>
      <c r="P19" s="93">
        <f t="shared" si="11"/>
        <v>0</v>
      </c>
      <c r="Q19" s="93">
        <f t="shared" si="11"/>
        <v>0</v>
      </c>
      <c r="R19" s="93">
        <f t="shared" si="11"/>
        <v>0</v>
      </c>
      <c r="S19" s="93">
        <f t="shared" si="11"/>
        <v>0</v>
      </c>
      <c r="T19" s="93">
        <f t="shared" si="11"/>
        <v>0</v>
      </c>
      <c r="U19" s="93">
        <f t="shared" si="11"/>
        <v>0</v>
      </c>
      <c r="V19" s="93">
        <f t="shared" si="11"/>
        <v>0</v>
      </c>
      <c r="W19" s="93">
        <f t="shared" si="11"/>
        <v>0</v>
      </c>
      <c r="X19" s="93">
        <f t="shared" si="11"/>
        <v>0</v>
      </c>
      <c r="Y19" s="93">
        <f t="shared" si="11"/>
        <v>0</v>
      </c>
      <c r="Z19" s="93">
        <f t="shared" si="11"/>
        <v>0</v>
      </c>
      <c r="AA19" s="93">
        <f t="shared" si="11"/>
        <v>0</v>
      </c>
      <c r="AB19" s="93">
        <f t="shared" si="11"/>
        <v>0</v>
      </c>
      <c r="AC19" s="93">
        <f t="shared" si="11"/>
        <v>0</v>
      </c>
      <c r="AD19" s="93">
        <f t="shared" si="11"/>
        <v>0</v>
      </c>
      <c r="AE19" s="93">
        <f t="shared" si="11"/>
        <v>0</v>
      </c>
      <c r="AF19" s="93">
        <f t="shared" si="11"/>
        <v>0</v>
      </c>
      <c r="AG19" s="93">
        <f t="shared" si="11"/>
        <v>0</v>
      </c>
      <c r="AH19" s="93">
        <f t="shared" si="11"/>
        <v>0</v>
      </c>
      <c r="AI19" s="93">
        <f t="shared" si="11"/>
        <v>0</v>
      </c>
      <c r="AJ19" s="93">
        <f t="shared" si="11"/>
        <v>0</v>
      </c>
      <c r="AK19" s="93">
        <f t="shared" si="11"/>
        <v>0</v>
      </c>
      <c r="AL19" s="93">
        <f t="shared" si="11"/>
        <v>0</v>
      </c>
      <c r="AM19" s="93">
        <f t="shared" si="11"/>
        <v>0</v>
      </c>
      <c r="AN19" s="93">
        <f t="shared" si="11"/>
        <v>0</v>
      </c>
      <c r="AO19" s="93">
        <f t="shared" si="11"/>
        <v>0</v>
      </c>
      <c r="AP19" s="93">
        <f t="shared" si="11"/>
        <v>0</v>
      </c>
      <c r="AQ19" s="93">
        <f t="shared" si="11"/>
        <v>0</v>
      </c>
      <c r="AR19" s="93">
        <f t="shared" si="11"/>
        <v>0</v>
      </c>
      <c r="AS19" s="93">
        <f t="shared" si="11"/>
        <v>0</v>
      </c>
      <c r="AT19" s="93">
        <f t="shared" si="11"/>
        <v>0</v>
      </c>
      <c r="AU19" s="93">
        <f t="shared" si="11"/>
        <v>0</v>
      </c>
    </row>
    <row r="20" spans="2:48" ht="15.75" customHeight="1" outlineLevel="1" x14ac:dyDescent="0.2"/>
    <row r="21" spans="2:48" ht="15.75" customHeight="1" outlineLevel="1" x14ac:dyDescent="0.2">
      <c r="B21" s="129" t="s">
        <v>568</v>
      </c>
      <c r="C21" s="125"/>
      <c r="D21" s="125"/>
      <c r="E21" s="130"/>
      <c r="F21" s="130"/>
      <c r="G21" s="130"/>
      <c r="H21" s="130"/>
      <c r="I21" s="130"/>
      <c r="J21" s="130"/>
      <c r="K21" s="130"/>
      <c r="L21" s="130"/>
      <c r="M21" s="130"/>
      <c r="N21" s="130"/>
      <c r="O21" s="130"/>
      <c r="P21" s="130"/>
      <c r="Q21" s="130"/>
      <c r="R21" s="130"/>
      <c r="S21" s="130"/>
      <c r="T21" s="130"/>
      <c r="U21" s="130"/>
      <c r="V21" s="130"/>
      <c r="W21" s="130"/>
      <c r="X21" s="130"/>
      <c r="Y21" s="130"/>
      <c r="Z21" s="130"/>
      <c r="AA21" s="130"/>
      <c r="AB21" s="130"/>
      <c r="AC21" s="130"/>
      <c r="AD21" s="130"/>
      <c r="AE21" s="130"/>
      <c r="AF21" s="130"/>
      <c r="AG21" s="130"/>
      <c r="AH21" s="130"/>
      <c r="AI21" s="130"/>
      <c r="AJ21" s="130"/>
      <c r="AK21" s="130"/>
      <c r="AL21" s="130"/>
      <c r="AM21" s="130"/>
      <c r="AN21" s="130"/>
      <c r="AO21" s="130"/>
      <c r="AP21" s="130"/>
      <c r="AQ21" s="130"/>
      <c r="AR21" s="130"/>
      <c r="AS21" s="130"/>
      <c r="AT21" s="130"/>
      <c r="AU21" s="130"/>
    </row>
    <row r="22" spans="2:48" ht="15.75" customHeight="1" outlineLevel="1" x14ac:dyDescent="0.2">
      <c r="B22" s="131" t="s">
        <v>460</v>
      </c>
      <c r="C22" s="50"/>
      <c r="D22" s="50"/>
      <c r="E22" s="144">
        <v>0</v>
      </c>
      <c r="F22" s="145">
        <f>+E25</f>
        <v>4</v>
      </c>
      <c r="G22" s="145">
        <f t="shared" ref="G22:AU22" si="12">+F25</f>
        <v>4</v>
      </c>
      <c r="H22" s="145">
        <f t="shared" si="12"/>
        <v>4</v>
      </c>
      <c r="I22" s="145">
        <f t="shared" si="12"/>
        <v>4</v>
      </c>
      <c r="J22" s="145">
        <f t="shared" si="12"/>
        <v>4</v>
      </c>
      <c r="K22" s="145">
        <f t="shared" si="12"/>
        <v>4</v>
      </c>
      <c r="L22" s="145">
        <f t="shared" si="12"/>
        <v>5</v>
      </c>
      <c r="M22" s="145">
        <f t="shared" si="12"/>
        <v>6</v>
      </c>
      <c r="N22" s="145">
        <f t="shared" si="12"/>
        <v>6</v>
      </c>
      <c r="O22" s="145">
        <f t="shared" si="12"/>
        <v>7</v>
      </c>
      <c r="P22" s="145">
        <f t="shared" si="12"/>
        <v>8</v>
      </c>
      <c r="Q22" s="145">
        <f t="shared" si="12"/>
        <v>15</v>
      </c>
      <c r="R22" s="145">
        <f t="shared" si="12"/>
        <v>16</v>
      </c>
      <c r="S22" s="145">
        <f t="shared" si="12"/>
        <v>17</v>
      </c>
      <c r="T22" s="145">
        <f t="shared" si="12"/>
        <v>26</v>
      </c>
      <c r="U22" s="145">
        <f t="shared" si="12"/>
        <v>32</v>
      </c>
      <c r="V22" s="145">
        <f t="shared" si="12"/>
        <v>37</v>
      </c>
      <c r="W22" s="145">
        <f t="shared" si="12"/>
        <v>40</v>
      </c>
      <c r="X22" s="145">
        <f t="shared" si="12"/>
        <v>45</v>
      </c>
      <c r="Y22" s="145">
        <f t="shared" si="12"/>
        <v>49</v>
      </c>
      <c r="Z22" s="145">
        <f t="shared" si="12"/>
        <v>54</v>
      </c>
      <c r="AA22" s="145">
        <f t="shared" si="12"/>
        <v>57</v>
      </c>
      <c r="AB22" s="145">
        <f t="shared" si="12"/>
        <v>60</v>
      </c>
      <c r="AC22" s="145">
        <f t="shared" si="12"/>
        <v>70</v>
      </c>
      <c r="AD22" s="145">
        <f t="shared" si="12"/>
        <v>76</v>
      </c>
      <c r="AE22" s="145">
        <f t="shared" si="12"/>
        <v>82</v>
      </c>
      <c r="AF22" s="145">
        <f t="shared" si="12"/>
        <v>100</v>
      </c>
      <c r="AG22" s="145">
        <f t="shared" si="12"/>
        <v>116</v>
      </c>
      <c r="AH22" s="145">
        <f t="shared" si="12"/>
        <v>131</v>
      </c>
      <c r="AI22" s="145">
        <f t="shared" si="12"/>
        <v>148</v>
      </c>
      <c r="AJ22" s="145">
        <f t="shared" si="12"/>
        <v>159</v>
      </c>
      <c r="AK22" s="145">
        <f t="shared" si="12"/>
        <v>177</v>
      </c>
      <c r="AL22" s="145">
        <f t="shared" si="12"/>
        <v>204</v>
      </c>
      <c r="AM22" s="145">
        <f t="shared" si="12"/>
        <v>216</v>
      </c>
      <c r="AN22" s="145">
        <f t="shared" si="12"/>
        <v>244</v>
      </c>
      <c r="AO22" s="145">
        <f t="shared" si="12"/>
        <v>279</v>
      </c>
      <c r="AP22" s="145">
        <f t="shared" si="12"/>
        <v>289</v>
      </c>
      <c r="AQ22" s="145">
        <f t="shared" si="12"/>
        <v>301</v>
      </c>
      <c r="AR22" s="145">
        <f t="shared" si="12"/>
        <v>326</v>
      </c>
      <c r="AS22" s="145">
        <f t="shared" si="12"/>
        <v>345</v>
      </c>
      <c r="AT22" s="145">
        <f t="shared" si="12"/>
        <v>354</v>
      </c>
      <c r="AU22" s="145">
        <f t="shared" si="12"/>
        <v>359</v>
      </c>
    </row>
    <row r="23" spans="2:48" ht="15.75" customHeight="1" outlineLevel="1" x14ac:dyDescent="0.2">
      <c r="B23" s="131" t="s">
        <v>471</v>
      </c>
      <c r="C23" s="50"/>
      <c r="D23" s="50"/>
      <c r="E23" s="145">
        <f>SUMPRODUCT(--(D$32:D$464=0),--(E$32:E$464&gt;0))</f>
        <v>4</v>
      </c>
      <c r="F23" s="145">
        <f t="shared" ref="F23:AU23" si="13">SUMPRODUCT(--(E$32:E$464=0),--(F$32:F$464&gt;0))</f>
        <v>0</v>
      </c>
      <c r="G23" s="145">
        <f t="shared" si="13"/>
        <v>0</v>
      </c>
      <c r="H23" s="145">
        <f t="shared" si="13"/>
        <v>0</v>
      </c>
      <c r="I23" s="145">
        <f t="shared" si="13"/>
        <v>0</v>
      </c>
      <c r="J23" s="145">
        <f t="shared" si="13"/>
        <v>0</v>
      </c>
      <c r="K23" s="145">
        <f t="shared" si="13"/>
        <v>1</v>
      </c>
      <c r="L23" s="145">
        <f t="shared" si="13"/>
        <v>1</v>
      </c>
      <c r="M23" s="145">
        <f t="shared" si="13"/>
        <v>0</v>
      </c>
      <c r="N23" s="145">
        <f t="shared" si="13"/>
        <v>1</v>
      </c>
      <c r="O23" s="145">
        <f t="shared" si="13"/>
        <v>1</v>
      </c>
      <c r="P23" s="145">
        <f t="shared" si="13"/>
        <v>7</v>
      </c>
      <c r="Q23" s="145">
        <f t="shared" si="13"/>
        <v>1</v>
      </c>
      <c r="R23" s="145">
        <f t="shared" si="13"/>
        <v>2</v>
      </c>
      <c r="S23" s="145">
        <f t="shared" si="13"/>
        <v>9</v>
      </c>
      <c r="T23" s="145">
        <f t="shared" si="13"/>
        <v>6</v>
      </c>
      <c r="U23" s="145">
        <f t="shared" si="13"/>
        <v>5</v>
      </c>
      <c r="V23" s="145">
        <f t="shared" si="13"/>
        <v>3</v>
      </c>
      <c r="W23" s="145">
        <f t="shared" si="13"/>
        <v>5</v>
      </c>
      <c r="X23" s="145">
        <f t="shared" si="13"/>
        <v>5</v>
      </c>
      <c r="Y23" s="145">
        <f t="shared" si="13"/>
        <v>6</v>
      </c>
      <c r="Z23" s="145">
        <f t="shared" si="13"/>
        <v>3</v>
      </c>
      <c r="AA23" s="145">
        <f t="shared" si="13"/>
        <v>3</v>
      </c>
      <c r="AB23" s="145">
        <f t="shared" si="13"/>
        <v>12</v>
      </c>
      <c r="AC23" s="145">
        <f t="shared" si="13"/>
        <v>7</v>
      </c>
      <c r="AD23" s="145">
        <f t="shared" si="13"/>
        <v>6</v>
      </c>
      <c r="AE23" s="145">
        <f t="shared" si="13"/>
        <v>18</v>
      </c>
      <c r="AF23" s="145">
        <f t="shared" si="13"/>
        <v>18</v>
      </c>
      <c r="AG23" s="145">
        <f t="shared" si="13"/>
        <v>17</v>
      </c>
      <c r="AH23" s="145">
        <f t="shared" si="13"/>
        <v>17</v>
      </c>
      <c r="AI23" s="145">
        <f t="shared" si="13"/>
        <v>16</v>
      </c>
      <c r="AJ23" s="145">
        <f t="shared" si="13"/>
        <v>20</v>
      </c>
      <c r="AK23" s="145">
        <f t="shared" si="13"/>
        <v>28</v>
      </c>
      <c r="AL23" s="145">
        <f t="shared" si="13"/>
        <v>12</v>
      </c>
      <c r="AM23" s="145">
        <f t="shared" si="13"/>
        <v>30</v>
      </c>
      <c r="AN23" s="145">
        <f t="shared" si="13"/>
        <v>36</v>
      </c>
      <c r="AO23" s="145">
        <f t="shared" si="13"/>
        <v>16</v>
      </c>
      <c r="AP23" s="145">
        <f t="shared" si="13"/>
        <v>15</v>
      </c>
      <c r="AQ23" s="145">
        <f t="shared" si="13"/>
        <v>29</v>
      </c>
      <c r="AR23" s="145">
        <f t="shared" si="13"/>
        <v>25</v>
      </c>
      <c r="AS23" s="145">
        <f t="shared" si="13"/>
        <v>13</v>
      </c>
      <c r="AT23" s="145">
        <f t="shared" si="13"/>
        <v>13</v>
      </c>
      <c r="AU23" s="145">
        <f t="shared" si="13"/>
        <v>19</v>
      </c>
    </row>
    <row r="24" spans="2:48" ht="15.75" customHeight="1" outlineLevel="1" x14ac:dyDescent="0.2">
      <c r="B24" s="131" t="s">
        <v>473</v>
      </c>
      <c r="C24" s="50"/>
      <c r="D24" s="50"/>
      <c r="E24" s="145">
        <f>-SUMPRODUCT(--(D$32:D$464&gt;0),--(E$32:E$464=0))</f>
        <v>0</v>
      </c>
      <c r="F24" s="145">
        <f t="shared" ref="F24:AU24" si="14">-SUMPRODUCT(--(E$32:E$464&gt;0),--(F$32:F$464=0))</f>
        <v>0</v>
      </c>
      <c r="G24" s="145">
        <f t="shared" si="14"/>
        <v>0</v>
      </c>
      <c r="H24" s="145">
        <f t="shared" si="14"/>
        <v>0</v>
      </c>
      <c r="I24" s="145">
        <f t="shared" si="14"/>
        <v>0</v>
      </c>
      <c r="J24" s="145">
        <f t="shared" si="14"/>
        <v>0</v>
      </c>
      <c r="K24" s="145">
        <f t="shared" si="14"/>
        <v>0</v>
      </c>
      <c r="L24" s="145">
        <f t="shared" si="14"/>
        <v>0</v>
      </c>
      <c r="M24" s="145">
        <f t="shared" si="14"/>
        <v>0</v>
      </c>
      <c r="N24" s="145">
        <f t="shared" si="14"/>
        <v>0</v>
      </c>
      <c r="O24" s="145">
        <f t="shared" si="14"/>
        <v>0</v>
      </c>
      <c r="P24" s="145">
        <f t="shared" si="14"/>
        <v>0</v>
      </c>
      <c r="Q24" s="145">
        <f t="shared" si="14"/>
        <v>0</v>
      </c>
      <c r="R24" s="145">
        <f t="shared" si="14"/>
        <v>-1</v>
      </c>
      <c r="S24" s="145">
        <f t="shared" si="14"/>
        <v>0</v>
      </c>
      <c r="T24" s="145">
        <f t="shared" si="14"/>
        <v>0</v>
      </c>
      <c r="U24" s="145">
        <f t="shared" si="14"/>
        <v>0</v>
      </c>
      <c r="V24" s="145">
        <f t="shared" si="14"/>
        <v>0</v>
      </c>
      <c r="W24" s="145">
        <f t="shared" si="14"/>
        <v>0</v>
      </c>
      <c r="X24" s="145">
        <f t="shared" si="14"/>
        <v>-1</v>
      </c>
      <c r="Y24" s="145">
        <f t="shared" si="14"/>
        <v>-1</v>
      </c>
      <c r="Z24" s="145">
        <f t="shared" si="14"/>
        <v>0</v>
      </c>
      <c r="AA24" s="145">
        <f t="shared" si="14"/>
        <v>0</v>
      </c>
      <c r="AB24" s="145">
        <f t="shared" si="14"/>
        <v>-2</v>
      </c>
      <c r="AC24" s="145">
        <f t="shared" si="14"/>
        <v>-1</v>
      </c>
      <c r="AD24" s="145">
        <f t="shared" si="14"/>
        <v>0</v>
      </c>
      <c r="AE24" s="145">
        <f t="shared" si="14"/>
        <v>0</v>
      </c>
      <c r="AF24" s="145">
        <f t="shared" si="14"/>
        <v>-2</v>
      </c>
      <c r="AG24" s="145">
        <f t="shared" si="14"/>
        <v>-2</v>
      </c>
      <c r="AH24" s="145">
        <f t="shared" si="14"/>
        <v>0</v>
      </c>
      <c r="AI24" s="145">
        <f t="shared" si="14"/>
        <v>-5</v>
      </c>
      <c r="AJ24" s="145">
        <f t="shared" si="14"/>
        <v>-2</v>
      </c>
      <c r="AK24" s="145">
        <f t="shared" si="14"/>
        <v>-1</v>
      </c>
      <c r="AL24" s="145">
        <f t="shared" si="14"/>
        <v>0</v>
      </c>
      <c r="AM24" s="145">
        <f t="shared" si="14"/>
        <v>-2</v>
      </c>
      <c r="AN24" s="145">
        <f t="shared" si="14"/>
        <v>-1</v>
      </c>
      <c r="AO24" s="145">
        <f t="shared" si="14"/>
        <v>-6</v>
      </c>
      <c r="AP24" s="145">
        <f t="shared" si="14"/>
        <v>-3</v>
      </c>
      <c r="AQ24" s="145">
        <f t="shared" si="14"/>
        <v>-4</v>
      </c>
      <c r="AR24" s="145">
        <f t="shared" si="14"/>
        <v>-6</v>
      </c>
      <c r="AS24" s="145">
        <f t="shared" si="14"/>
        <v>-4</v>
      </c>
      <c r="AT24" s="145">
        <f t="shared" si="14"/>
        <v>-8</v>
      </c>
      <c r="AU24" s="145">
        <f t="shared" si="14"/>
        <v>-9</v>
      </c>
    </row>
    <row r="25" spans="2:48" ht="15.75" customHeight="1" outlineLevel="1" x14ac:dyDescent="0.2">
      <c r="B25" s="61" t="s">
        <v>461</v>
      </c>
      <c r="C25" s="61"/>
      <c r="D25" s="61"/>
      <c r="E25" s="132">
        <f t="shared" ref="E25:AU25" si="15">SUM(E22:E24)</f>
        <v>4</v>
      </c>
      <c r="F25" s="132">
        <f t="shared" si="15"/>
        <v>4</v>
      </c>
      <c r="G25" s="132">
        <f t="shared" si="15"/>
        <v>4</v>
      </c>
      <c r="H25" s="132">
        <f t="shared" si="15"/>
        <v>4</v>
      </c>
      <c r="I25" s="132">
        <f t="shared" si="15"/>
        <v>4</v>
      </c>
      <c r="J25" s="132">
        <f t="shared" si="15"/>
        <v>4</v>
      </c>
      <c r="K25" s="132">
        <f t="shared" si="15"/>
        <v>5</v>
      </c>
      <c r="L25" s="132">
        <f t="shared" si="15"/>
        <v>6</v>
      </c>
      <c r="M25" s="132">
        <f t="shared" si="15"/>
        <v>6</v>
      </c>
      <c r="N25" s="132">
        <f t="shared" si="15"/>
        <v>7</v>
      </c>
      <c r="O25" s="132">
        <f t="shared" si="15"/>
        <v>8</v>
      </c>
      <c r="P25" s="132">
        <f t="shared" si="15"/>
        <v>15</v>
      </c>
      <c r="Q25" s="132">
        <f t="shared" si="15"/>
        <v>16</v>
      </c>
      <c r="R25" s="132">
        <f t="shared" si="15"/>
        <v>17</v>
      </c>
      <c r="S25" s="132">
        <f t="shared" si="15"/>
        <v>26</v>
      </c>
      <c r="T25" s="132">
        <f t="shared" si="15"/>
        <v>32</v>
      </c>
      <c r="U25" s="132">
        <f t="shared" si="15"/>
        <v>37</v>
      </c>
      <c r="V25" s="132">
        <f t="shared" si="15"/>
        <v>40</v>
      </c>
      <c r="W25" s="132">
        <f t="shared" si="15"/>
        <v>45</v>
      </c>
      <c r="X25" s="132">
        <f t="shared" si="15"/>
        <v>49</v>
      </c>
      <c r="Y25" s="132">
        <f t="shared" si="15"/>
        <v>54</v>
      </c>
      <c r="Z25" s="132">
        <f t="shared" si="15"/>
        <v>57</v>
      </c>
      <c r="AA25" s="132">
        <f t="shared" si="15"/>
        <v>60</v>
      </c>
      <c r="AB25" s="132">
        <f t="shared" si="15"/>
        <v>70</v>
      </c>
      <c r="AC25" s="132">
        <f t="shared" si="15"/>
        <v>76</v>
      </c>
      <c r="AD25" s="132">
        <f t="shared" si="15"/>
        <v>82</v>
      </c>
      <c r="AE25" s="132">
        <f t="shared" si="15"/>
        <v>100</v>
      </c>
      <c r="AF25" s="132">
        <f t="shared" si="15"/>
        <v>116</v>
      </c>
      <c r="AG25" s="132">
        <f t="shared" si="15"/>
        <v>131</v>
      </c>
      <c r="AH25" s="132">
        <f t="shared" si="15"/>
        <v>148</v>
      </c>
      <c r="AI25" s="132">
        <f t="shared" si="15"/>
        <v>159</v>
      </c>
      <c r="AJ25" s="132">
        <f t="shared" si="15"/>
        <v>177</v>
      </c>
      <c r="AK25" s="132">
        <f t="shared" si="15"/>
        <v>204</v>
      </c>
      <c r="AL25" s="132">
        <f t="shared" si="15"/>
        <v>216</v>
      </c>
      <c r="AM25" s="132">
        <f t="shared" si="15"/>
        <v>244</v>
      </c>
      <c r="AN25" s="132">
        <f t="shared" si="15"/>
        <v>279</v>
      </c>
      <c r="AO25" s="132">
        <f t="shared" si="15"/>
        <v>289</v>
      </c>
      <c r="AP25" s="132">
        <f t="shared" si="15"/>
        <v>301</v>
      </c>
      <c r="AQ25" s="132">
        <f t="shared" si="15"/>
        <v>326</v>
      </c>
      <c r="AR25" s="132">
        <f t="shared" si="15"/>
        <v>345</v>
      </c>
      <c r="AS25" s="132">
        <f t="shared" si="15"/>
        <v>354</v>
      </c>
      <c r="AT25" s="132">
        <f t="shared" si="15"/>
        <v>359</v>
      </c>
      <c r="AU25" s="132">
        <f t="shared" si="15"/>
        <v>369</v>
      </c>
    </row>
    <row r="26" spans="2:48" ht="15.75" customHeight="1" outlineLevel="1" x14ac:dyDescent="0.2">
      <c r="B26" s="128" t="s">
        <v>8</v>
      </c>
      <c r="C26" s="128"/>
      <c r="D26" s="128"/>
      <c r="E26" s="93">
        <f>+COUNTIFS(E$32:E$998,"&gt;"&amp;0)-E25-1</f>
        <v>0</v>
      </c>
      <c r="F26" s="93">
        <f t="shared" ref="F26:AU26" si="16">+COUNTIFS(F$32:F$998,"&gt;"&amp;0)-F25-1</f>
        <v>0</v>
      </c>
      <c r="G26" s="93">
        <f t="shared" si="16"/>
        <v>0</v>
      </c>
      <c r="H26" s="93">
        <f t="shared" si="16"/>
        <v>0</v>
      </c>
      <c r="I26" s="93">
        <f t="shared" si="16"/>
        <v>0</v>
      </c>
      <c r="J26" s="93">
        <f t="shared" si="16"/>
        <v>0</v>
      </c>
      <c r="K26" s="93">
        <f t="shared" si="16"/>
        <v>0</v>
      </c>
      <c r="L26" s="93">
        <f t="shared" si="16"/>
        <v>0</v>
      </c>
      <c r="M26" s="93">
        <f t="shared" si="16"/>
        <v>0</v>
      </c>
      <c r="N26" s="93">
        <f t="shared" si="16"/>
        <v>0</v>
      </c>
      <c r="O26" s="93">
        <f t="shared" si="16"/>
        <v>0</v>
      </c>
      <c r="P26" s="93">
        <f t="shared" si="16"/>
        <v>0</v>
      </c>
      <c r="Q26" s="93">
        <f t="shared" si="16"/>
        <v>0</v>
      </c>
      <c r="R26" s="93">
        <f t="shared" si="16"/>
        <v>0</v>
      </c>
      <c r="S26" s="93">
        <f t="shared" si="16"/>
        <v>0</v>
      </c>
      <c r="T26" s="93">
        <f t="shared" si="16"/>
        <v>0</v>
      </c>
      <c r="U26" s="93">
        <f t="shared" si="16"/>
        <v>0</v>
      </c>
      <c r="V26" s="93">
        <f t="shared" si="16"/>
        <v>0</v>
      </c>
      <c r="W26" s="93">
        <f t="shared" si="16"/>
        <v>0</v>
      </c>
      <c r="X26" s="93">
        <f t="shared" si="16"/>
        <v>0</v>
      </c>
      <c r="Y26" s="93">
        <f t="shared" si="16"/>
        <v>0</v>
      </c>
      <c r="Z26" s="93">
        <f t="shared" si="16"/>
        <v>0</v>
      </c>
      <c r="AA26" s="93">
        <f t="shared" si="16"/>
        <v>0</v>
      </c>
      <c r="AB26" s="93">
        <f t="shared" si="16"/>
        <v>0</v>
      </c>
      <c r="AC26" s="93">
        <f t="shared" si="16"/>
        <v>0</v>
      </c>
      <c r="AD26" s="93">
        <f t="shared" si="16"/>
        <v>0</v>
      </c>
      <c r="AE26" s="93">
        <f t="shared" si="16"/>
        <v>0</v>
      </c>
      <c r="AF26" s="93">
        <f t="shared" si="16"/>
        <v>0</v>
      </c>
      <c r="AG26" s="93">
        <f t="shared" si="16"/>
        <v>0</v>
      </c>
      <c r="AH26" s="93">
        <f t="shared" si="16"/>
        <v>0</v>
      </c>
      <c r="AI26" s="93">
        <f t="shared" si="16"/>
        <v>0</v>
      </c>
      <c r="AJ26" s="93">
        <f t="shared" si="16"/>
        <v>0</v>
      </c>
      <c r="AK26" s="93">
        <f t="shared" si="16"/>
        <v>0</v>
      </c>
      <c r="AL26" s="93">
        <f t="shared" si="16"/>
        <v>0</v>
      </c>
      <c r="AM26" s="93">
        <f t="shared" si="16"/>
        <v>0</v>
      </c>
      <c r="AN26" s="93">
        <f t="shared" si="16"/>
        <v>0</v>
      </c>
      <c r="AO26" s="93">
        <f t="shared" si="16"/>
        <v>0</v>
      </c>
      <c r="AP26" s="93">
        <f t="shared" si="16"/>
        <v>0</v>
      </c>
      <c r="AQ26" s="93">
        <f t="shared" si="16"/>
        <v>0</v>
      </c>
      <c r="AR26" s="93">
        <f t="shared" si="16"/>
        <v>0</v>
      </c>
      <c r="AS26" s="93">
        <f t="shared" si="16"/>
        <v>0</v>
      </c>
      <c r="AT26" s="93">
        <f t="shared" si="16"/>
        <v>0</v>
      </c>
      <c r="AU26" s="93">
        <f t="shared" si="16"/>
        <v>0</v>
      </c>
    </row>
    <row r="27" spans="2:48" ht="15.75" customHeight="1" outlineLevel="1" x14ac:dyDescent="0.2"/>
    <row r="28" spans="2:48" ht="15.75" customHeight="1" x14ac:dyDescent="0.2"/>
    <row r="29" spans="2:48" ht="15.75" customHeight="1" x14ac:dyDescent="0.2">
      <c r="B29" s="125" t="s">
        <v>11</v>
      </c>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row>
    <row r="30" spans="2:48" ht="15.75" customHeight="1" x14ac:dyDescent="0.2"/>
    <row r="31" spans="2:48" ht="15.75" customHeight="1" x14ac:dyDescent="0.2">
      <c r="B31" s="133" t="s">
        <v>12</v>
      </c>
      <c r="C31" s="134" t="s">
        <v>5</v>
      </c>
      <c r="D31" s="44" t="s">
        <v>0</v>
      </c>
      <c r="E31" s="135">
        <f t="shared" ref="E31:AU31" si="17">+E$3</f>
        <v>43496</v>
      </c>
      <c r="F31" s="135">
        <f t="shared" si="17"/>
        <v>43524</v>
      </c>
      <c r="G31" s="135">
        <f t="shared" si="17"/>
        <v>43555</v>
      </c>
      <c r="H31" s="135">
        <f t="shared" si="17"/>
        <v>43585</v>
      </c>
      <c r="I31" s="135">
        <f t="shared" si="17"/>
        <v>43616</v>
      </c>
      <c r="J31" s="135">
        <f t="shared" si="17"/>
        <v>43646</v>
      </c>
      <c r="K31" s="135">
        <f t="shared" si="17"/>
        <v>43677</v>
      </c>
      <c r="L31" s="135">
        <f t="shared" si="17"/>
        <v>43708</v>
      </c>
      <c r="M31" s="135">
        <f t="shared" si="17"/>
        <v>43738</v>
      </c>
      <c r="N31" s="135">
        <f t="shared" si="17"/>
        <v>43769</v>
      </c>
      <c r="O31" s="135">
        <f t="shared" si="17"/>
        <v>43799</v>
      </c>
      <c r="P31" s="135">
        <f t="shared" si="17"/>
        <v>43830</v>
      </c>
      <c r="Q31" s="135">
        <f t="shared" si="17"/>
        <v>43861</v>
      </c>
      <c r="R31" s="135">
        <f t="shared" si="17"/>
        <v>43890</v>
      </c>
      <c r="S31" s="135">
        <f t="shared" si="17"/>
        <v>43921</v>
      </c>
      <c r="T31" s="135">
        <f t="shared" si="17"/>
        <v>43951</v>
      </c>
      <c r="U31" s="135">
        <f t="shared" si="17"/>
        <v>43982</v>
      </c>
      <c r="V31" s="135">
        <f t="shared" si="17"/>
        <v>44012</v>
      </c>
      <c r="W31" s="135">
        <f t="shared" si="17"/>
        <v>44043</v>
      </c>
      <c r="X31" s="135">
        <f t="shared" si="17"/>
        <v>44074</v>
      </c>
      <c r="Y31" s="135">
        <f t="shared" si="17"/>
        <v>44104</v>
      </c>
      <c r="Z31" s="135">
        <f t="shared" si="17"/>
        <v>44135</v>
      </c>
      <c r="AA31" s="135">
        <f t="shared" si="17"/>
        <v>44165</v>
      </c>
      <c r="AB31" s="135">
        <f t="shared" si="17"/>
        <v>44196</v>
      </c>
      <c r="AC31" s="135">
        <f t="shared" si="17"/>
        <v>44227</v>
      </c>
      <c r="AD31" s="135">
        <f t="shared" si="17"/>
        <v>44255</v>
      </c>
      <c r="AE31" s="135">
        <f t="shared" si="17"/>
        <v>44286</v>
      </c>
      <c r="AF31" s="135">
        <f t="shared" si="17"/>
        <v>44316</v>
      </c>
      <c r="AG31" s="135">
        <f t="shared" si="17"/>
        <v>44347</v>
      </c>
      <c r="AH31" s="135">
        <f t="shared" si="17"/>
        <v>44377</v>
      </c>
      <c r="AI31" s="135">
        <f t="shared" si="17"/>
        <v>44408</v>
      </c>
      <c r="AJ31" s="135">
        <f t="shared" si="17"/>
        <v>44439</v>
      </c>
      <c r="AK31" s="135">
        <f t="shared" si="17"/>
        <v>44469</v>
      </c>
      <c r="AL31" s="135">
        <f t="shared" si="17"/>
        <v>44500</v>
      </c>
      <c r="AM31" s="135">
        <f t="shared" si="17"/>
        <v>44530</v>
      </c>
      <c r="AN31" s="135">
        <f t="shared" si="17"/>
        <v>44561</v>
      </c>
      <c r="AO31" s="135">
        <f t="shared" si="17"/>
        <v>44592</v>
      </c>
      <c r="AP31" s="135">
        <f t="shared" si="17"/>
        <v>44620</v>
      </c>
      <c r="AQ31" s="135">
        <f t="shared" si="17"/>
        <v>44651</v>
      </c>
      <c r="AR31" s="135">
        <f t="shared" si="17"/>
        <v>44681</v>
      </c>
      <c r="AS31" s="135">
        <f t="shared" si="17"/>
        <v>44712</v>
      </c>
      <c r="AT31" s="135">
        <f t="shared" si="17"/>
        <v>44742</v>
      </c>
      <c r="AU31" s="135">
        <f t="shared" si="17"/>
        <v>44773</v>
      </c>
    </row>
    <row r="32" spans="2:48" ht="15.75" customHeight="1" x14ac:dyDescent="0.2">
      <c r="B32" s="136" t="s">
        <v>13</v>
      </c>
      <c r="C32" s="137">
        <v>0</v>
      </c>
      <c r="D32" s="138">
        <v>0</v>
      </c>
      <c r="E32" s="139">
        <v>12420</v>
      </c>
      <c r="F32" s="139">
        <v>12420</v>
      </c>
      <c r="G32" s="139">
        <v>12420</v>
      </c>
      <c r="H32" s="139">
        <v>12420</v>
      </c>
      <c r="I32" s="139">
        <v>12420</v>
      </c>
      <c r="J32" s="139">
        <v>12420</v>
      </c>
      <c r="K32" s="139">
        <v>12420</v>
      </c>
      <c r="L32" s="139">
        <v>12420</v>
      </c>
      <c r="M32" s="139">
        <v>12420</v>
      </c>
      <c r="N32" s="139">
        <v>12420</v>
      </c>
      <c r="O32" s="139">
        <v>12420</v>
      </c>
      <c r="P32" s="139">
        <v>12420</v>
      </c>
      <c r="Q32" s="139">
        <v>18720</v>
      </c>
      <c r="R32" s="139">
        <v>18720</v>
      </c>
      <c r="S32" s="139">
        <v>18720</v>
      </c>
      <c r="T32" s="139">
        <v>18720</v>
      </c>
      <c r="U32" s="139">
        <v>18720</v>
      </c>
      <c r="V32" s="139">
        <v>18720</v>
      </c>
      <c r="W32" s="139">
        <v>18720</v>
      </c>
      <c r="X32" s="139">
        <v>18720</v>
      </c>
      <c r="Y32" s="139">
        <v>18720</v>
      </c>
      <c r="Z32" s="139">
        <v>18720</v>
      </c>
      <c r="AA32" s="139">
        <v>18720</v>
      </c>
      <c r="AB32" s="139">
        <v>18720</v>
      </c>
      <c r="AC32" s="139">
        <v>16200</v>
      </c>
      <c r="AD32" s="139">
        <v>16200</v>
      </c>
      <c r="AE32" s="139">
        <v>16200</v>
      </c>
      <c r="AF32" s="139">
        <v>16200</v>
      </c>
      <c r="AG32" s="139">
        <v>16200</v>
      </c>
      <c r="AH32" s="139">
        <v>16200</v>
      </c>
      <c r="AI32" s="139">
        <v>16200</v>
      </c>
      <c r="AJ32" s="139">
        <v>16200</v>
      </c>
      <c r="AK32" s="139">
        <v>16200</v>
      </c>
      <c r="AL32" s="139">
        <v>16200</v>
      </c>
      <c r="AM32" s="139">
        <v>16200</v>
      </c>
      <c r="AN32" s="139">
        <v>16200</v>
      </c>
      <c r="AO32" s="139">
        <v>16200</v>
      </c>
      <c r="AP32" s="139">
        <v>19560</v>
      </c>
      <c r="AQ32" s="139">
        <v>19560</v>
      </c>
      <c r="AR32" s="139">
        <v>19560</v>
      </c>
      <c r="AS32" s="139">
        <v>19560</v>
      </c>
      <c r="AT32" s="139">
        <v>19560</v>
      </c>
      <c r="AU32" s="139">
        <v>19560</v>
      </c>
      <c r="AV32" s="140"/>
    </row>
    <row r="33" spans="2:48" ht="15.75" customHeight="1" x14ac:dyDescent="0.2">
      <c r="B33" s="136" t="s">
        <v>14</v>
      </c>
      <c r="C33" s="137">
        <v>0</v>
      </c>
      <c r="D33" s="138">
        <v>0</v>
      </c>
      <c r="E33" s="139">
        <v>5940</v>
      </c>
      <c r="F33" s="139">
        <v>6720</v>
      </c>
      <c r="G33" s="139">
        <v>7560</v>
      </c>
      <c r="H33" s="139">
        <v>7920</v>
      </c>
      <c r="I33" s="139">
        <v>7800</v>
      </c>
      <c r="J33" s="139">
        <v>8459.8799999999992</v>
      </c>
      <c r="K33" s="139">
        <v>8640</v>
      </c>
      <c r="L33" s="139">
        <v>8760</v>
      </c>
      <c r="M33" s="139">
        <v>9420</v>
      </c>
      <c r="N33" s="139">
        <v>9600</v>
      </c>
      <c r="O33" s="139">
        <v>9420</v>
      </c>
      <c r="P33" s="139">
        <v>9600</v>
      </c>
      <c r="Q33" s="139">
        <v>9600</v>
      </c>
      <c r="R33" s="139">
        <v>0</v>
      </c>
      <c r="S33" s="139">
        <v>0</v>
      </c>
      <c r="T33" s="139">
        <v>0</v>
      </c>
      <c r="U33" s="139">
        <v>0</v>
      </c>
      <c r="V33" s="139">
        <v>0</v>
      </c>
      <c r="W33" s="139">
        <v>0</v>
      </c>
      <c r="X33" s="139">
        <v>0</v>
      </c>
      <c r="Y33" s="139">
        <v>0</v>
      </c>
      <c r="Z33" s="139">
        <v>0</v>
      </c>
      <c r="AA33" s="139">
        <v>0</v>
      </c>
      <c r="AB33" s="139">
        <v>0</v>
      </c>
      <c r="AC33" s="139">
        <v>0</v>
      </c>
      <c r="AD33" s="139">
        <v>0</v>
      </c>
      <c r="AE33" s="139">
        <v>0</v>
      </c>
      <c r="AF33" s="139">
        <v>0</v>
      </c>
      <c r="AG33" s="139">
        <v>0</v>
      </c>
      <c r="AH33" s="139">
        <v>0</v>
      </c>
      <c r="AI33" s="139">
        <v>0</v>
      </c>
      <c r="AJ33" s="139">
        <v>0</v>
      </c>
      <c r="AK33" s="139">
        <v>0</v>
      </c>
      <c r="AL33" s="139">
        <v>0</v>
      </c>
      <c r="AM33" s="139">
        <v>0</v>
      </c>
      <c r="AN33" s="139">
        <v>0</v>
      </c>
      <c r="AO33" s="139">
        <v>0</v>
      </c>
      <c r="AP33" s="139">
        <v>0</v>
      </c>
      <c r="AQ33" s="139">
        <v>0</v>
      </c>
      <c r="AR33" s="139">
        <v>0</v>
      </c>
      <c r="AS33" s="139">
        <v>0</v>
      </c>
      <c r="AT33" s="139">
        <v>0</v>
      </c>
      <c r="AU33" s="139">
        <v>0</v>
      </c>
      <c r="AV33" s="140"/>
    </row>
    <row r="34" spans="2:48" ht="15.75" customHeight="1" x14ac:dyDescent="0.2">
      <c r="B34" s="136" t="s">
        <v>15</v>
      </c>
      <c r="C34" s="137">
        <v>0</v>
      </c>
      <c r="D34" s="138">
        <v>0</v>
      </c>
      <c r="E34" s="139">
        <v>60000</v>
      </c>
      <c r="F34" s="139">
        <v>60000</v>
      </c>
      <c r="G34" s="139">
        <v>60000</v>
      </c>
      <c r="H34" s="139">
        <v>60000</v>
      </c>
      <c r="I34" s="139">
        <v>60000</v>
      </c>
      <c r="J34" s="139">
        <v>60000</v>
      </c>
      <c r="K34" s="139">
        <v>60000</v>
      </c>
      <c r="L34" s="139">
        <v>60000</v>
      </c>
      <c r="M34" s="139">
        <v>60000</v>
      </c>
      <c r="N34" s="139">
        <v>60000</v>
      </c>
      <c r="O34" s="139">
        <v>60000</v>
      </c>
      <c r="P34" s="139">
        <v>60000</v>
      </c>
      <c r="Q34" s="139">
        <v>80640</v>
      </c>
      <c r="R34" s="139">
        <v>80640</v>
      </c>
      <c r="S34" s="139">
        <v>80640</v>
      </c>
      <c r="T34" s="139">
        <v>80640</v>
      </c>
      <c r="U34" s="139">
        <v>80640</v>
      </c>
      <c r="V34" s="139">
        <v>80640</v>
      </c>
      <c r="W34" s="139">
        <v>80640</v>
      </c>
      <c r="X34" s="139">
        <v>80640</v>
      </c>
      <c r="Y34" s="139">
        <v>80640</v>
      </c>
      <c r="Z34" s="139">
        <v>80640</v>
      </c>
      <c r="AA34" s="139">
        <v>80640</v>
      </c>
      <c r="AB34" s="139">
        <v>80640</v>
      </c>
      <c r="AC34" s="139">
        <v>80640</v>
      </c>
      <c r="AD34" s="139">
        <v>103623</v>
      </c>
      <c r="AE34" s="139">
        <v>103623</v>
      </c>
      <c r="AF34" s="139">
        <v>103623</v>
      </c>
      <c r="AG34" s="139">
        <v>103623</v>
      </c>
      <c r="AH34" s="139">
        <v>103623</v>
      </c>
      <c r="AI34" s="139">
        <v>103623</v>
      </c>
      <c r="AJ34" s="139">
        <v>103623</v>
      </c>
      <c r="AK34" s="139">
        <v>103623</v>
      </c>
      <c r="AL34" s="139">
        <v>103623</v>
      </c>
      <c r="AM34" s="139">
        <v>103623</v>
      </c>
      <c r="AN34" s="139">
        <v>103623</v>
      </c>
      <c r="AO34" s="139">
        <v>133110</v>
      </c>
      <c r="AP34" s="139">
        <v>133110</v>
      </c>
      <c r="AQ34" s="139">
        <v>133110</v>
      </c>
      <c r="AR34" s="139">
        <v>133110</v>
      </c>
      <c r="AS34" s="139">
        <v>133110</v>
      </c>
      <c r="AT34" s="139">
        <v>133110</v>
      </c>
      <c r="AU34" s="139">
        <v>133110</v>
      </c>
      <c r="AV34" s="140"/>
    </row>
    <row r="35" spans="2:48" ht="15.75" customHeight="1" x14ac:dyDescent="0.2">
      <c r="B35" s="136" t="s">
        <v>16</v>
      </c>
      <c r="C35" s="137">
        <v>0</v>
      </c>
      <c r="D35" s="138">
        <v>0</v>
      </c>
      <c r="E35" s="139">
        <v>10152</v>
      </c>
      <c r="F35" s="139">
        <v>10152</v>
      </c>
      <c r="G35" s="139">
        <v>10152</v>
      </c>
      <c r="H35" s="139">
        <v>10152</v>
      </c>
      <c r="I35" s="139">
        <v>10152</v>
      </c>
      <c r="J35" s="139">
        <v>10152</v>
      </c>
      <c r="K35" s="139">
        <v>10152</v>
      </c>
      <c r="L35" s="139">
        <v>10152</v>
      </c>
      <c r="M35" s="139">
        <v>10152</v>
      </c>
      <c r="N35" s="139">
        <v>10152</v>
      </c>
      <c r="O35" s="139">
        <v>10152</v>
      </c>
      <c r="P35" s="139">
        <v>10152</v>
      </c>
      <c r="Q35" s="139">
        <v>10008</v>
      </c>
      <c r="R35" s="139">
        <v>10008</v>
      </c>
      <c r="S35" s="139">
        <v>10008</v>
      </c>
      <c r="T35" s="139">
        <v>10008</v>
      </c>
      <c r="U35" s="139">
        <v>10008</v>
      </c>
      <c r="V35" s="139">
        <v>10008</v>
      </c>
      <c r="W35" s="139">
        <v>10008</v>
      </c>
      <c r="X35" s="139">
        <v>10008</v>
      </c>
      <c r="Y35" s="139">
        <v>10008</v>
      </c>
      <c r="Z35" s="139">
        <v>10008</v>
      </c>
      <c r="AA35" s="139">
        <v>10008</v>
      </c>
      <c r="AB35" s="139">
        <v>10008</v>
      </c>
      <c r="AC35" s="139">
        <v>15480</v>
      </c>
      <c r="AD35" s="139">
        <v>15480</v>
      </c>
      <c r="AE35" s="139">
        <v>15480</v>
      </c>
      <c r="AF35" s="139">
        <v>15480</v>
      </c>
      <c r="AG35" s="139">
        <v>15480</v>
      </c>
      <c r="AH35" s="139">
        <v>15480</v>
      </c>
      <c r="AI35" s="139">
        <v>15480</v>
      </c>
      <c r="AJ35" s="139">
        <v>15480</v>
      </c>
      <c r="AK35" s="139">
        <v>15480</v>
      </c>
      <c r="AL35" s="139">
        <v>15480</v>
      </c>
      <c r="AM35" s="139">
        <v>15480</v>
      </c>
      <c r="AN35" s="139">
        <v>15480</v>
      </c>
      <c r="AO35" s="139">
        <v>16260</v>
      </c>
      <c r="AP35" s="139">
        <v>16260</v>
      </c>
      <c r="AQ35" s="139">
        <v>16260</v>
      </c>
      <c r="AR35" s="139">
        <v>16260</v>
      </c>
      <c r="AS35" s="139">
        <v>16260</v>
      </c>
      <c r="AT35" s="139">
        <v>16260</v>
      </c>
      <c r="AU35" s="139">
        <v>16260</v>
      </c>
      <c r="AV35" s="140"/>
    </row>
    <row r="36" spans="2:48" ht="15.75" customHeight="1" x14ac:dyDescent="0.2">
      <c r="B36" s="136" t="s">
        <v>17</v>
      </c>
      <c r="C36" s="137">
        <v>0</v>
      </c>
      <c r="D36" s="138">
        <v>0</v>
      </c>
      <c r="E36" s="139">
        <v>0</v>
      </c>
      <c r="F36" s="139">
        <v>0</v>
      </c>
      <c r="G36" s="139">
        <v>0</v>
      </c>
      <c r="H36" s="139">
        <v>0</v>
      </c>
      <c r="I36" s="139">
        <v>0</v>
      </c>
      <c r="J36" s="139">
        <v>0</v>
      </c>
      <c r="K36" s="139">
        <v>8520</v>
      </c>
      <c r="L36" s="139">
        <v>8220</v>
      </c>
      <c r="M36" s="139">
        <v>8580</v>
      </c>
      <c r="N36" s="139">
        <v>8880</v>
      </c>
      <c r="O36" s="139">
        <v>9480</v>
      </c>
      <c r="P36" s="139">
        <v>9300</v>
      </c>
      <c r="Q36" s="139">
        <v>10200</v>
      </c>
      <c r="R36" s="139">
        <v>10320</v>
      </c>
      <c r="S36" s="139">
        <v>10440</v>
      </c>
      <c r="T36" s="139">
        <v>9780</v>
      </c>
      <c r="U36" s="139">
        <v>10320</v>
      </c>
      <c r="V36" s="139">
        <v>11100</v>
      </c>
      <c r="W36" s="139">
        <v>11100</v>
      </c>
      <c r="X36" s="139">
        <v>0</v>
      </c>
      <c r="Y36" s="139">
        <v>0</v>
      </c>
      <c r="Z36" s="139">
        <v>0</v>
      </c>
      <c r="AA36" s="139">
        <v>0</v>
      </c>
      <c r="AB36" s="139">
        <v>0</v>
      </c>
      <c r="AC36" s="139">
        <v>0</v>
      </c>
      <c r="AD36" s="139">
        <v>0</v>
      </c>
      <c r="AE36" s="139">
        <v>0</v>
      </c>
      <c r="AF36" s="139">
        <v>0</v>
      </c>
      <c r="AG36" s="139">
        <v>0</v>
      </c>
      <c r="AH36" s="139">
        <v>0</v>
      </c>
      <c r="AI36" s="139">
        <v>0</v>
      </c>
      <c r="AJ36" s="139">
        <v>0</v>
      </c>
      <c r="AK36" s="139">
        <v>0</v>
      </c>
      <c r="AL36" s="139">
        <v>0</v>
      </c>
      <c r="AM36" s="139">
        <v>0</v>
      </c>
      <c r="AN36" s="139">
        <v>0</v>
      </c>
      <c r="AO36" s="139">
        <v>0</v>
      </c>
      <c r="AP36" s="139">
        <v>0</v>
      </c>
      <c r="AQ36" s="139">
        <v>0</v>
      </c>
      <c r="AR36" s="139">
        <v>0</v>
      </c>
      <c r="AS36" s="139">
        <v>0</v>
      </c>
      <c r="AT36" s="139">
        <v>0</v>
      </c>
      <c r="AU36" s="139">
        <v>0</v>
      </c>
      <c r="AV36" s="140"/>
    </row>
    <row r="37" spans="2:48" ht="15.75" customHeight="1" x14ac:dyDescent="0.2">
      <c r="B37" s="136" t="s">
        <v>18</v>
      </c>
      <c r="C37" s="137">
        <v>0</v>
      </c>
      <c r="D37" s="138">
        <v>0</v>
      </c>
      <c r="E37" s="139">
        <v>0</v>
      </c>
      <c r="F37" s="139">
        <v>0</v>
      </c>
      <c r="G37" s="139">
        <v>0</v>
      </c>
      <c r="H37" s="139">
        <v>0</v>
      </c>
      <c r="I37" s="139">
        <v>0</v>
      </c>
      <c r="J37" s="139">
        <v>0</v>
      </c>
      <c r="K37" s="139">
        <v>0</v>
      </c>
      <c r="L37" s="139">
        <v>6420</v>
      </c>
      <c r="M37" s="139">
        <v>6420</v>
      </c>
      <c r="N37" s="139">
        <v>6420</v>
      </c>
      <c r="O37" s="139">
        <v>6420</v>
      </c>
      <c r="P37" s="139">
        <v>6420</v>
      </c>
      <c r="Q37" s="139">
        <v>6420</v>
      </c>
      <c r="R37" s="139">
        <v>6420</v>
      </c>
      <c r="S37" s="139">
        <v>6420</v>
      </c>
      <c r="T37" s="139">
        <v>6420</v>
      </c>
      <c r="U37" s="139">
        <v>6420</v>
      </c>
      <c r="V37" s="139">
        <v>6420</v>
      </c>
      <c r="W37" s="139">
        <v>6420</v>
      </c>
      <c r="X37" s="139">
        <v>6420</v>
      </c>
      <c r="Y37" s="139">
        <v>0</v>
      </c>
      <c r="Z37" s="139">
        <v>0</v>
      </c>
      <c r="AA37" s="139">
        <v>0</v>
      </c>
      <c r="AB37" s="139">
        <v>0</v>
      </c>
      <c r="AC37" s="139">
        <v>0</v>
      </c>
      <c r="AD37" s="139">
        <v>0</v>
      </c>
      <c r="AE37" s="139">
        <v>0</v>
      </c>
      <c r="AF37" s="139">
        <v>0</v>
      </c>
      <c r="AG37" s="139">
        <v>0</v>
      </c>
      <c r="AH37" s="139">
        <v>0</v>
      </c>
      <c r="AI37" s="139">
        <v>0</v>
      </c>
      <c r="AJ37" s="139">
        <v>0</v>
      </c>
      <c r="AK37" s="139">
        <v>0</v>
      </c>
      <c r="AL37" s="139">
        <v>0</v>
      </c>
      <c r="AM37" s="139">
        <v>0</v>
      </c>
      <c r="AN37" s="139">
        <v>0</v>
      </c>
      <c r="AO37" s="139">
        <v>0</v>
      </c>
      <c r="AP37" s="139">
        <v>0</v>
      </c>
      <c r="AQ37" s="139">
        <v>0</v>
      </c>
      <c r="AR37" s="139">
        <v>0</v>
      </c>
      <c r="AS37" s="139">
        <v>0</v>
      </c>
      <c r="AT37" s="139">
        <v>0</v>
      </c>
      <c r="AU37" s="139">
        <v>0</v>
      </c>
      <c r="AV37" s="140"/>
    </row>
    <row r="38" spans="2:48" ht="15.75" customHeight="1" x14ac:dyDescent="0.2">
      <c r="B38" s="136" t="s">
        <v>19</v>
      </c>
      <c r="C38" s="137">
        <v>0</v>
      </c>
      <c r="D38" s="138">
        <v>0</v>
      </c>
      <c r="E38" s="139">
        <v>0</v>
      </c>
      <c r="F38" s="139">
        <v>0</v>
      </c>
      <c r="G38" s="139">
        <v>0</v>
      </c>
      <c r="H38" s="139">
        <v>0</v>
      </c>
      <c r="I38" s="139">
        <v>0</v>
      </c>
      <c r="J38" s="139">
        <v>0</v>
      </c>
      <c r="K38" s="139">
        <v>0</v>
      </c>
      <c r="L38" s="139">
        <v>0</v>
      </c>
      <c r="M38" s="139">
        <v>0</v>
      </c>
      <c r="N38" s="139">
        <v>6624</v>
      </c>
      <c r="O38" s="139">
        <v>6576</v>
      </c>
      <c r="P38" s="139">
        <v>6816</v>
      </c>
      <c r="Q38" s="139">
        <v>7056</v>
      </c>
      <c r="R38" s="139">
        <v>7344</v>
      </c>
      <c r="S38" s="139">
        <v>7728</v>
      </c>
      <c r="T38" s="139">
        <v>8496</v>
      </c>
      <c r="U38" s="139">
        <v>9264</v>
      </c>
      <c r="V38" s="139">
        <v>10176</v>
      </c>
      <c r="W38" s="139">
        <v>10656</v>
      </c>
      <c r="X38" s="139">
        <v>10176</v>
      </c>
      <c r="Y38" s="139">
        <v>12912</v>
      </c>
      <c r="Z38" s="139">
        <v>18384</v>
      </c>
      <c r="AA38" s="139">
        <v>18240</v>
      </c>
      <c r="AB38" s="139">
        <v>18240</v>
      </c>
      <c r="AC38" s="139">
        <v>18240</v>
      </c>
      <c r="AD38" s="139">
        <v>18240</v>
      </c>
      <c r="AE38" s="139">
        <v>18240</v>
      </c>
      <c r="AF38" s="139">
        <v>18240</v>
      </c>
      <c r="AG38" s="139">
        <v>18240</v>
      </c>
      <c r="AH38" s="139">
        <v>18240</v>
      </c>
      <c r="AI38" s="139">
        <v>18240</v>
      </c>
      <c r="AJ38" s="139">
        <v>18240</v>
      </c>
      <c r="AK38" s="139">
        <v>18240</v>
      </c>
      <c r="AL38" s="139">
        <v>18240</v>
      </c>
      <c r="AM38" s="139">
        <v>53760</v>
      </c>
      <c r="AN38" s="139">
        <v>53760</v>
      </c>
      <c r="AO38" s="139">
        <v>53760</v>
      </c>
      <c r="AP38" s="139">
        <v>53760</v>
      </c>
      <c r="AQ38" s="139">
        <v>53760</v>
      </c>
      <c r="AR38" s="139">
        <v>53760</v>
      </c>
      <c r="AS38" s="139">
        <v>53760</v>
      </c>
      <c r="AT38" s="139">
        <v>53760</v>
      </c>
      <c r="AU38" s="139">
        <v>53760</v>
      </c>
      <c r="AV38" s="140"/>
    </row>
    <row r="39" spans="2:48" ht="15.75" customHeight="1" x14ac:dyDescent="0.2">
      <c r="B39" s="136" t="s">
        <v>20</v>
      </c>
      <c r="C39" s="137">
        <v>0</v>
      </c>
      <c r="D39" s="138">
        <v>0</v>
      </c>
      <c r="E39" s="139">
        <v>0</v>
      </c>
      <c r="F39" s="139">
        <v>0</v>
      </c>
      <c r="G39" s="139">
        <v>0</v>
      </c>
      <c r="H39" s="139">
        <v>0</v>
      </c>
      <c r="I39" s="139">
        <v>0</v>
      </c>
      <c r="J39" s="139">
        <v>0</v>
      </c>
      <c r="K39" s="139">
        <v>0</v>
      </c>
      <c r="L39" s="139">
        <v>0</v>
      </c>
      <c r="M39" s="139">
        <v>0</v>
      </c>
      <c r="N39" s="139">
        <v>0</v>
      </c>
      <c r="O39" s="139">
        <v>15000</v>
      </c>
      <c r="P39" s="139">
        <v>15000</v>
      </c>
      <c r="Q39" s="139">
        <v>15000</v>
      </c>
      <c r="R39" s="139">
        <v>15000</v>
      </c>
      <c r="S39" s="139">
        <v>15000</v>
      </c>
      <c r="T39" s="139">
        <v>15000</v>
      </c>
      <c r="U39" s="139">
        <v>15000</v>
      </c>
      <c r="V39" s="139">
        <v>15000</v>
      </c>
      <c r="W39" s="139">
        <v>15000</v>
      </c>
      <c r="X39" s="139">
        <v>15000</v>
      </c>
      <c r="Y39" s="139">
        <v>15000</v>
      </c>
      <c r="Z39" s="139">
        <v>15000</v>
      </c>
      <c r="AA39" s="139">
        <v>22092</v>
      </c>
      <c r="AB39" s="139">
        <v>22092</v>
      </c>
      <c r="AC39" s="139">
        <v>22092</v>
      </c>
      <c r="AD39" s="139">
        <v>22092</v>
      </c>
      <c r="AE39" s="139">
        <v>22092</v>
      </c>
      <c r="AF39" s="139">
        <v>22092</v>
      </c>
      <c r="AG39" s="139">
        <v>22092</v>
      </c>
      <c r="AH39" s="139">
        <v>22092</v>
      </c>
      <c r="AI39" s="139">
        <v>22092</v>
      </c>
      <c r="AJ39" s="139">
        <v>22092</v>
      </c>
      <c r="AK39" s="139">
        <v>22092</v>
      </c>
      <c r="AL39" s="139">
        <v>22092</v>
      </c>
      <c r="AM39" s="139">
        <v>22092</v>
      </c>
      <c r="AN39" s="139">
        <v>29700</v>
      </c>
      <c r="AO39" s="139">
        <v>29700</v>
      </c>
      <c r="AP39" s="139">
        <v>29700</v>
      </c>
      <c r="AQ39" s="139">
        <v>29700</v>
      </c>
      <c r="AR39" s="139">
        <v>29700</v>
      </c>
      <c r="AS39" s="139">
        <v>29700</v>
      </c>
      <c r="AT39" s="139">
        <v>29700</v>
      </c>
      <c r="AU39" s="139">
        <v>29700</v>
      </c>
      <c r="AV39" s="140"/>
    </row>
    <row r="40" spans="2:48" ht="15.75" customHeight="1" x14ac:dyDescent="0.2">
      <c r="B40" s="136" t="s">
        <v>21</v>
      </c>
      <c r="C40" s="137">
        <v>0</v>
      </c>
      <c r="D40" s="138">
        <v>0</v>
      </c>
      <c r="E40" s="139">
        <v>0</v>
      </c>
      <c r="F40" s="139">
        <v>0</v>
      </c>
      <c r="G40" s="139">
        <v>0</v>
      </c>
      <c r="H40" s="139">
        <v>0</v>
      </c>
      <c r="I40" s="139">
        <v>0</v>
      </c>
      <c r="J40" s="139">
        <v>0</v>
      </c>
      <c r="K40" s="139">
        <v>0</v>
      </c>
      <c r="L40" s="139">
        <v>0</v>
      </c>
      <c r="M40" s="139">
        <v>0</v>
      </c>
      <c r="N40" s="139">
        <v>0</v>
      </c>
      <c r="O40" s="139">
        <v>0</v>
      </c>
      <c r="P40" s="125">
        <v>30288</v>
      </c>
      <c r="Q40" s="139">
        <v>30288</v>
      </c>
      <c r="R40" s="139">
        <v>30288</v>
      </c>
      <c r="S40" s="139">
        <v>30288</v>
      </c>
      <c r="T40" s="139">
        <v>30288</v>
      </c>
      <c r="U40" s="139">
        <v>30288</v>
      </c>
      <c r="V40" s="139">
        <v>30288</v>
      </c>
      <c r="W40" s="139">
        <v>30288</v>
      </c>
      <c r="X40" s="139">
        <v>30288</v>
      </c>
      <c r="Y40" s="139">
        <v>30288</v>
      </c>
      <c r="Z40" s="139">
        <v>75446</v>
      </c>
      <c r="AA40" s="139">
        <v>75446</v>
      </c>
      <c r="AB40" s="139">
        <v>75446</v>
      </c>
      <c r="AC40" s="139">
        <v>75446</v>
      </c>
      <c r="AD40" s="139">
        <v>75446</v>
      </c>
      <c r="AE40" s="139">
        <v>75446</v>
      </c>
      <c r="AF40" s="139">
        <v>75446</v>
      </c>
      <c r="AG40" s="139">
        <v>75446</v>
      </c>
      <c r="AH40" s="139">
        <v>75446</v>
      </c>
      <c r="AI40" s="139">
        <v>75446</v>
      </c>
      <c r="AJ40" s="139">
        <v>75446</v>
      </c>
      <c r="AK40" s="139">
        <v>75446</v>
      </c>
      <c r="AL40" s="139">
        <v>75446</v>
      </c>
      <c r="AM40" s="139">
        <v>0</v>
      </c>
      <c r="AN40" s="139">
        <v>0</v>
      </c>
      <c r="AO40" s="139">
        <v>0</v>
      </c>
      <c r="AP40" s="139">
        <v>0</v>
      </c>
      <c r="AQ40" s="139">
        <v>0</v>
      </c>
      <c r="AR40" s="139">
        <v>0</v>
      </c>
      <c r="AS40" s="139">
        <v>0</v>
      </c>
      <c r="AT40" s="139">
        <v>0</v>
      </c>
      <c r="AU40" s="139">
        <v>0</v>
      </c>
      <c r="AV40" s="140"/>
    </row>
    <row r="41" spans="2:48" ht="15.75" customHeight="1" x14ac:dyDescent="0.2">
      <c r="B41" s="136" t="s">
        <v>22</v>
      </c>
      <c r="C41" s="137">
        <v>0</v>
      </c>
      <c r="D41" s="138">
        <v>0</v>
      </c>
      <c r="E41" s="139">
        <v>0</v>
      </c>
      <c r="F41" s="139">
        <v>0</v>
      </c>
      <c r="G41" s="139">
        <v>0</v>
      </c>
      <c r="H41" s="139">
        <v>0</v>
      </c>
      <c r="I41" s="139">
        <v>0</v>
      </c>
      <c r="J41" s="139">
        <v>0</v>
      </c>
      <c r="K41" s="139">
        <v>0</v>
      </c>
      <c r="L41" s="139">
        <v>0</v>
      </c>
      <c r="M41" s="139">
        <v>0</v>
      </c>
      <c r="N41" s="139">
        <v>0</v>
      </c>
      <c r="O41" s="139">
        <v>0</v>
      </c>
      <c r="P41" s="139">
        <v>14400</v>
      </c>
      <c r="Q41" s="139">
        <v>14400</v>
      </c>
      <c r="R41" s="139">
        <v>14400</v>
      </c>
      <c r="S41" s="139">
        <v>14400</v>
      </c>
      <c r="T41" s="139">
        <v>14400</v>
      </c>
      <c r="U41" s="139">
        <v>14400</v>
      </c>
      <c r="V41" s="139">
        <v>14400</v>
      </c>
      <c r="W41" s="139">
        <v>14400</v>
      </c>
      <c r="X41" s="139">
        <v>14400</v>
      </c>
      <c r="Y41" s="139">
        <v>14400</v>
      </c>
      <c r="Z41" s="139">
        <v>14400</v>
      </c>
      <c r="AA41" s="139">
        <v>14400</v>
      </c>
      <c r="AB41" s="139">
        <v>14400</v>
      </c>
      <c r="AC41" s="139">
        <v>0</v>
      </c>
      <c r="AD41" s="139">
        <v>0</v>
      </c>
      <c r="AE41" s="139">
        <v>0</v>
      </c>
      <c r="AF41" s="139">
        <v>0</v>
      </c>
      <c r="AG41" s="139">
        <v>0</v>
      </c>
      <c r="AH41" s="139">
        <v>0</v>
      </c>
      <c r="AI41" s="139">
        <v>0</v>
      </c>
      <c r="AJ41" s="139">
        <v>0</v>
      </c>
      <c r="AK41" s="139">
        <v>0</v>
      </c>
      <c r="AL41" s="139">
        <v>0</v>
      </c>
      <c r="AM41" s="139">
        <v>0</v>
      </c>
      <c r="AN41" s="139">
        <v>0</v>
      </c>
      <c r="AO41" s="139">
        <v>0</v>
      </c>
      <c r="AP41" s="139">
        <v>0</v>
      </c>
      <c r="AQ41" s="139">
        <v>0</v>
      </c>
      <c r="AR41" s="139">
        <v>0</v>
      </c>
      <c r="AS41" s="139">
        <v>0</v>
      </c>
      <c r="AT41" s="139">
        <v>0</v>
      </c>
      <c r="AU41" s="139">
        <v>0</v>
      </c>
      <c r="AV41" s="140"/>
    </row>
    <row r="42" spans="2:48" ht="15.75" customHeight="1" x14ac:dyDescent="0.2">
      <c r="B42" s="136" t="s">
        <v>23</v>
      </c>
      <c r="C42" s="137">
        <v>0</v>
      </c>
      <c r="D42" s="138">
        <v>0</v>
      </c>
      <c r="E42" s="139">
        <v>0</v>
      </c>
      <c r="F42" s="139">
        <v>0</v>
      </c>
      <c r="G42" s="139">
        <v>0</v>
      </c>
      <c r="H42" s="139">
        <v>0</v>
      </c>
      <c r="I42" s="139">
        <v>0</v>
      </c>
      <c r="J42" s="139">
        <v>0</v>
      </c>
      <c r="K42" s="139">
        <v>0</v>
      </c>
      <c r="L42" s="139">
        <v>0</v>
      </c>
      <c r="M42" s="139">
        <v>0</v>
      </c>
      <c r="N42" s="139">
        <v>0</v>
      </c>
      <c r="O42" s="139">
        <v>0</v>
      </c>
      <c r="P42" s="139">
        <v>5184</v>
      </c>
      <c r="Q42" s="139">
        <v>5184</v>
      </c>
      <c r="R42" s="139">
        <v>5184</v>
      </c>
      <c r="S42" s="139">
        <v>5184</v>
      </c>
      <c r="T42" s="139">
        <v>5184</v>
      </c>
      <c r="U42" s="139">
        <v>5184</v>
      </c>
      <c r="V42" s="139">
        <v>5184</v>
      </c>
      <c r="W42" s="139">
        <v>5184</v>
      </c>
      <c r="X42" s="139">
        <v>5184</v>
      </c>
      <c r="Y42" s="139">
        <v>5184</v>
      </c>
      <c r="Z42" s="139">
        <v>5184</v>
      </c>
      <c r="AA42" s="139">
        <v>5184</v>
      </c>
      <c r="AB42" s="139">
        <v>13344</v>
      </c>
      <c r="AC42" s="139">
        <v>13344</v>
      </c>
      <c r="AD42" s="139">
        <v>13344</v>
      </c>
      <c r="AE42" s="139">
        <v>13344</v>
      </c>
      <c r="AF42" s="139">
        <v>13344</v>
      </c>
      <c r="AG42" s="139">
        <v>13344</v>
      </c>
      <c r="AH42" s="139">
        <v>13344</v>
      </c>
      <c r="AI42" s="139">
        <v>13344</v>
      </c>
      <c r="AJ42" s="139">
        <v>13344</v>
      </c>
      <c r="AK42" s="139">
        <v>13344</v>
      </c>
      <c r="AL42" s="139">
        <v>13344</v>
      </c>
      <c r="AM42" s="139">
        <v>13344</v>
      </c>
      <c r="AN42" s="139">
        <v>18628</v>
      </c>
      <c r="AO42" s="139">
        <v>18628</v>
      </c>
      <c r="AP42" s="139">
        <v>18628</v>
      </c>
      <c r="AQ42" s="139">
        <v>18628</v>
      </c>
      <c r="AR42" s="139">
        <v>18628</v>
      </c>
      <c r="AS42" s="139">
        <v>18628</v>
      </c>
      <c r="AT42" s="139">
        <v>18628</v>
      </c>
      <c r="AU42" s="139">
        <v>18628</v>
      </c>
      <c r="AV42" s="140"/>
    </row>
    <row r="43" spans="2:48" ht="15.75" customHeight="1" x14ac:dyDescent="0.2">
      <c r="B43" s="136" t="s">
        <v>24</v>
      </c>
      <c r="C43" s="137">
        <v>0</v>
      </c>
      <c r="D43" s="138">
        <v>0</v>
      </c>
      <c r="E43" s="139">
        <v>0</v>
      </c>
      <c r="F43" s="139">
        <v>0</v>
      </c>
      <c r="G43" s="139">
        <v>0</v>
      </c>
      <c r="H43" s="139">
        <v>0</v>
      </c>
      <c r="I43" s="139">
        <v>0</v>
      </c>
      <c r="J43" s="139">
        <v>0</v>
      </c>
      <c r="K43" s="139">
        <v>0</v>
      </c>
      <c r="L43" s="139">
        <v>0</v>
      </c>
      <c r="M43" s="139">
        <v>0</v>
      </c>
      <c r="N43" s="139">
        <v>0</v>
      </c>
      <c r="O43" s="139">
        <v>0</v>
      </c>
      <c r="P43" s="139">
        <v>5000</v>
      </c>
      <c r="Q43" s="139">
        <v>5000</v>
      </c>
      <c r="R43" s="139">
        <v>5000</v>
      </c>
      <c r="S43" s="139">
        <v>5000</v>
      </c>
      <c r="T43" s="139">
        <v>5000</v>
      </c>
      <c r="U43" s="139">
        <v>5000</v>
      </c>
      <c r="V43" s="139">
        <v>5000</v>
      </c>
      <c r="W43" s="139">
        <v>5000</v>
      </c>
      <c r="X43" s="139">
        <v>5000</v>
      </c>
      <c r="Y43" s="139">
        <v>5000</v>
      </c>
      <c r="Z43" s="139">
        <v>5000</v>
      </c>
      <c r="AA43" s="139">
        <v>5000</v>
      </c>
      <c r="AB43" s="139">
        <v>5000</v>
      </c>
      <c r="AC43" s="139">
        <v>5000</v>
      </c>
      <c r="AD43" s="139">
        <v>5000</v>
      </c>
      <c r="AE43" s="139">
        <v>5000</v>
      </c>
      <c r="AF43" s="139">
        <v>5000</v>
      </c>
      <c r="AG43" s="139">
        <v>5000</v>
      </c>
      <c r="AH43" s="139">
        <v>5000</v>
      </c>
      <c r="AI43" s="139">
        <v>5000</v>
      </c>
      <c r="AJ43" s="139">
        <v>5000</v>
      </c>
      <c r="AK43" s="139">
        <v>5000</v>
      </c>
      <c r="AL43" s="139">
        <v>5000</v>
      </c>
      <c r="AM43" s="139">
        <v>5000</v>
      </c>
      <c r="AN43" s="139">
        <v>5000</v>
      </c>
      <c r="AO43" s="139">
        <v>5000</v>
      </c>
      <c r="AP43" s="139">
        <v>5000</v>
      </c>
      <c r="AQ43" s="139">
        <v>5000</v>
      </c>
      <c r="AR43" s="139">
        <v>5000</v>
      </c>
      <c r="AS43" s="139">
        <v>5000</v>
      </c>
      <c r="AT43" s="139">
        <v>5000</v>
      </c>
      <c r="AU43" s="139">
        <v>5000</v>
      </c>
      <c r="AV43" s="140"/>
    </row>
    <row r="44" spans="2:48" ht="15.75" customHeight="1" x14ac:dyDescent="0.2">
      <c r="B44" s="136" t="s">
        <v>25</v>
      </c>
      <c r="C44" s="137">
        <v>0</v>
      </c>
      <c r="D44" s="138">
        <v>0</v>
      </c>
      <c r="E44" s="139">
        <v>0</v>
      </c>
      <c r="F44" s="139">
        <v>0</v>
      </c>
      <c r="G44" s="139">
        <v>0</v>
      </c>
      <c r="H44" s="139">
        <v>0</v>
      </c>
      <c r="I44" s="139">
        <v>0</v>
      </c>
      <c r="J44" s="139">
        <v>0</v>
      </c>
      <c r="K44" s="139">
        <v>0</v>
      </c>
      <c r="L44" s="139">
        <v>0</v>
      </c>
      <c r="M44" s="139">
        <v>0</v>
      </c>
      <c r="N44" s="139">
        <v>0</v>
      </c>
      <c r="O44" s="139">
        <v>0</v>
      </c>
      <c r="P44" s="139">
        <v>8208</v>
      </c>
      <c r="Q44" s="139">
        <v>8208</v>
      </c>
      <c r="R44" s="139">
        <v>8208</v>
      </c>
      <c r="S44" s="139">
        <v>8208</v>
      </c>
      <c r="T44" s="139">
        <v>8208</v>
      </c>
      <c r="U44" s="139">
        <v>8208</v>
      </c>
      <c r="V44" s="139">
        <v>8208</v>
      </c>
      <c r="W44" s="139">
        <v>8208</v>
      </c>
      <c r="X44" s="139">
        <v>8208</v>
      </c>
      <c r="Y44" s="139">
        <v>8208</v>
      </c>
      <c r="Z44" s="139">
        <v>8208</v>
      </c>
      <c r="AA44" s="139">
        <v>8208</v>
      </c>
      <c r="AB44" s="139">
        <v>0</v>
      </c>
      <c r="AC44" s="139">
        <v>0</v>
      </c>
      <c r="AD44" s="139">
        <v>0</v>
      </c>
      <c r="AE44" s="139">
        <v>0</v>
      </c>
      <c r="AF44" s="139">
        <v>0</v>
      </c>
      <c r="AG44" s="139">
        <v>0</v>
      </c>
      <c r="AH44" s="139">
        <v>0</v>
      </c>
      <c r="AI44" s="139">
        <v>0</v>
      </c>
      <c r="AJ44" s="139">
        <v>0</v>
      </c>
      <c r="AK44" s="139">
        <v>0</v>
      </c>
      <c r="AL44" s="139">
        <v>0</v>
      </c>
      <c r="AM44" s="139">
        <v>0</v>
      </c>
      <c r="AN44" s="139">
        <v>0</v>
      </c>
      <c r="AO44" s="139">
        <v>0</v>
      </c>
      <c r="AP44" s="139">
        <v>0</v>
      </c>
      <c r="AQ44" s="139">
        <v>0</v>
      </c>
      <c r="AR44" s="139">
        <v>0</v>
      </c>
      <c r="AS44" s="139">
        <v>0</v>
      </c>
      <c r="AT44" s="139">
        <v>0</v>
      </c>
      <c r="AU44" s="139">
        <v>0</v>
      </c>
      <c r="AV44" s="140"/>
    </row>
    <row r="45" spans="2:48" ht="15.75" customHeight="1" x14ac:dyDescent="0.2">
      <c r="B45" s="136" t="s">
        <v>26</v>
      </c>
      <c r="C45" s="137">
        <v>0</v>
      </c>
      <c r="D45" s="138">
        <v>0</v>
      </c>
      <c r="E45" s="139">
        <v>0</v>
      </c>
      <c r="F45" s="139">
        <v>0</v>
      </c>
      <c r="G45" s="139">
        <v>0</v>
      </c>
      <c r="H45" s="139">
        <v>0</v>
      </c>
      <c r="I45" s="139">
        <v>0</v>
      </c>
      <c r="J45" s="139">
        <v>0</v>
      </c>
      <c r="K45" s="139">
        <v>0</v>
      </c>
      <c r="L45" s="139">
        <v>0</v>
      </c>
      <c r="M45" s="139">
        <v>0</v>
      </c>
      <c r="N45" s="139">
        <v>0</v>
      </c>
      <c r="O45" s="139">
        <v>0</v>
      </c>
      <c r="P45" s="139">
        <v>21780</v>
      </c>
      <c r="Q45" s="139">
        <v>21780</v>
      </c>
      <c r="R45" s="139">
        <v>21780</v>
      </c>
      <c r="S45" s="139">
        <v>21780</v>
      </c>
      <c r="T45" s="139">
        <v>21780</v>
      </c>
      <c r="U45" s="139">
        <v>21780</v>
      </c>
      <c r="V45" s="139">
        <v>21780</v>
      </c>
      <c r="W45" s="139">
        <v>21780</v>
      </c>
      <c r="X45" s="139">
        <v>21780</v>
      </c>
      <c r="Y45" s="139">
        <v>21780</v>
      </c>
      <c r="Z45" s="139">
        <v>21780</v>
      </c>
      <c r="AA45" s="139">
        <v>21780</v>
      </c>
      <c r="AB45" s="139">
        <v>24900</v>
      </c>
      <c r="AC45" s="139">
        <v>24900</v>
      </c>
      <c r="AD45" s="139">
        <v>24900</v>
      </c>
      <c r="AE45" s="139">
        <v>24900</v>
      </c>
      <c r="AF45" s="139">
        <v>24900</v>
      </c>
      <c r="AG45" s="139">
        <v>24900</v>
      </c>
      <c r="AH45" s="139">
        <v>24900</v>
      </c>
      <c r="AI45" s="139">
        <v>24900</v>
      </c>
      <c r="AJ45" s="139">
        <v>24900</v>
      </c>
      <c r="AK45" s="139">
        <v>24900</v>
      </c>
      <c r="AL45" s="139">
        <v>24900</v>
      </c>
      <c r="AM45" s="139">
        <v>24900</v>
      </c>
      <c r="AN45" s="139">
        <v>36720</v>
      </c>
      <c r="AO45" s="139">
        <v>36720</v>
      </c>
      <c r="AP45" s="139">
        <v>36720</v>
      </c>
      <c r="AQ45" s="139">
        <v>36720</v>
      </c>
      <c r="AR45" s="139">
        <v>36720</v>
      </c>
      <c r="AS45" s="139">
        <v>36720</v>
      </c>
      <c r="AT45" s="139">
        <v>36720</v>
      </c>
      <c r="AU45" s="139">
        <v>36720</v>
      </c>
      <c r="AV45" s="140"/>
    </row>
    <row r="46" spans="2:48" ht="15.75" customHeight="1" x14ac:dyDescent="0.2">
      <c r="B46" s="136" t="s">
        <v>27</v>
      </c>
      <c r="C46" s="137">
        <v>0</v>
      </c>
      <c r="D46" s="138">
        <v>0</v>
      </c>
      <c r="E46" s="139">
        <v>0</v>
      </c>
      <c r="F46" s="139">
        <v>0</v>
      </c>
      <c r="G46" s="139">
        <v>0</v>
      </c>
      <c r="H46" s="139">
        <v>0</v>
      </c>
      <c r="I46" s="139">
        <v>0</v>
      </c>
      <c r="J46" s="139">
        <v>0</v>
      </c>
      <c r="K46" s="139">
        <v>0</v>
      </c>
      <c r="L46" s="139">
        <v>0</v>
      </c>
      <c r="M46" s="139">
        <v>0</v>
      </c>
      <c r="N46" s="139">
        <v>0</v>
      </c>
      <c r="O46" s="139">
        <v>0</v>
      </c>
      <c r="P46" s="139">
        <v>5000</v>
      </c>
      <c r="Q46" s="139">
        <v>5000</v>
      </c>
      <c r="R46" s="139">
        <v>5000</v>
      </c>
      <c r="S46" s="139">
        <v>5000</v>
      </c>
      <c r="T46" s="139">
        <v>5000</v>
      </c>
      <c r="U46" s="139">
        <v>5000</v>
      </c>
      <c r="V46" s="139">
        <v>5000</v>
      </c>
      <c r="W46" s="139">
        <v>5000</v>
      </c>
      <c r="X46" s="139">
        <v>5000</v>
      </c>
      <c r="Y46" s="139">
        <v>5000</v>
      </c>
      <c r="Z46" s="139">
        <v>5000</v>
      </c>
      <c r="AA46" s="139">
        <v>5000</v>
      </c>
      <c r="AB46" s="139">
        <v>0</v>
      </c>
      <c r="AC46" s="139">
        <v>0</v>
      </c>
      <c r="AD46" s="139">
        <v>0</v>
      </c>
      <c r="AE46" s="139">
        <v>0</v>
      </c>
      <c r="AF46" s="139">
        <v>0</v>
      </c>
      <c r="AG46" s="139">
        <v>0</v>
      </c>
      <c r="AH46" s="139">
        <v>0</v>
      </c>
      <c r="AI46" s="139">
        <v>0</v>
      </c>
      <c r="AJ46" s="139">
        <v>0</v>
      </c>
      <c r="AK46" s="139">
        <v>0</v>
      </c>
      <c r="AL46" s="139">
        <v>0</v>
      </c>
      <c r="AM46" s="139">
        <v>0</v>
      </c>
      <c r="AN46" s="139">
        <v>0</v>
      </c>
      <c r="AO46" s="139">
        <v>0</v>
      </c>
      <c r="AP46" s="139">
        <v>0</v>
      </c>
      <c r="AQ46" s="139">
        <v>0</v>
      </c>
      <c r="AR46" s="139">
        <v>0</v>
      </c>
      <c r="AS46" s="139">
        <v>0</v>
      </c>
      <c r="AT46" s="139">
        <v>0</v>
      </c>
      <c r="AU46" s="139">
        <v>0</v>
      </c>
      <c r="AV46" s="140"/>
    </row>
    <row r="47" spans="2:48" ht="15.75" customHeight="1" x14ac:dyDescent="0.2">
      <c r="B47" s="136" t="s">
        <v>28</v>
      </c>
      <c r="C47" s="137">
        <v>0</v>
      </c>
      <c r="D47" s="138">
        <v>0</v>
      </c>
      <c r="E47" s="139">
        <v>0</v>
      </c>
      <c r="F47" s="139">
        <v>0</v>
      </c>
      <c r="G47" s="139">
        <v>0</v>
      </c>
      <c r="H47" s="139">
        <v>0</v>
      </c>
      <c r="I47" s="139">
        <v>0</v>
      </c>
      <c r="J47" s="139">
        <v>0</v>
      </c>
      <c r="K47" s="139">
        <v>0</v>
      </c>
      <c r="L47" s="139">
        <v>0</v>
      </c>
      <c r="M47" s="139">
        <v>0</v>
      </c>
      <c r="N47" s="139">
        <v>0</v>
      </c>
      <c r="O47" s="139">
        <v>0</v>
      </c>
      <c r="P47" s="139">
        <v>0</v>
      </c>
      <c r="Q47" s="139">
        <v>7499.52</v>
      </c>
      <c r="R47" s="139">
        <v>7499.52</v>
      </c>
      <c r="S47" s="139">
        <v>7499.52</v>
      </c>
      <c r="T47" s="139">
        <v>7499.52</v>
      </c>
      <c r="U47" s="139">
        <v>7499.52</v>
      </c>
      <c r="V47" s="139">
        <v>7500</v>
      </c>
      <c r="W47" s="139">
        <v>7500</v>
      </c>
      <c r="X47" s="139">
        <v>7500</v>
      </c>
      <c r="Y47" s="139">
        <v>7500</v>
      </c>
      <c r="Z47" s="139">
        <v>7500</v>
      </c>
      <c r="AA47" s="139">
        <v>7500</v>
      </c>
      <c r="AB47" s="139">
        <v>7500</v>
      </c>
      <c r="AC47" s="139">
        <v>11637</v>
      </c>
      <c r="AD47" s="139">
        <v>11637</v>
      </c>
      <c r="AE47" s="139">
        <v>11637</v>
      </c>
      <c r="AF47" s="139">
        <v>11637</v>
      </c>
      <c r="AG47" s="139">
        <v>11637</v>
      </c>
      <c r="AH47" s="139">
        <v>11637</v>
      </c>
      <c r="AI47" s="139">
        <v>11637</v>
      </c>
      <c r="AJ47" s="139">
        <v>11637</v>
      </c>
      <c r="AK47" s="139">
        <v>11637</v>
      </c>
      <c r="AL47" s="139">
        <v>11637</v>
      </c>
      <c r="AM47" s="139">
        <v>11637</v>
      </c>
      <c r="AN47" s="139">
        <v>11637</v>
      </c>
      <c r="AO47" s="139">
        <v>13338</v>
      </c>
      <c r="AP47" s="139">
        <v>13338</v>
      </c>
      <c r="AQ47" s="139">
        <v>13338</v>
      </c>
      <c r="AR47" s="139">
        <v>13338</v>
      </c>
      <c r="AS47" s="139">
        <v>13338</v>
      </c>
      <c r="AT47" s="139">
        <v>13338</v>
      </c>
      <c r="AU47" s="139">
        <v>13338</v>
      </c>
      <c r="AV47" s="140"/>
    </row>
    <row r="48" spans="2:48" ht="15.75" customHeight="1" x14ac:dyDescent="0.2">
      <c r="B48" s="136" t="s">
        <v>29</v>
      </c>
      <c r="C48" s="137">
        <v>0</v>
      </c>
      <c r="D48" s="138">
        <v>0</v>
      </c>
      <c r="E48" s="139">
        <v>0</v>
      </c>
      <c r="F48" s="139">
        <v>0</v>
      </c>
      <c r="G48" s="139">
        <v>0</v>
      </c>
      <c r="H48" s="139">
        <v>0</v>
      </c>
      <c r="I48" s="139">
        <v>0</v>
      </c>
      <c r="J48" s="139">
        <v>0</v>
      </c>
      <c r="K48" s="139">
        <v>0</v>
      </c>
      <c r="L48" s="139">
        <v>0</v>
      </c>
      <c r="M48" s="139">
        <v>0</v>
      </c>
      <c r="N48" s="139">
        <v>0</v>
      </c>
      <c r="O48" s="139">
        <v>0</v>
      </c>
      <c r="P48" s="139">
        <v>0</v>
      </c>
      <c r="Q48" s="139">
        <v>0</v>
      </c>
      <c r="R48" s="139">
        <v>6540</v>
      </c>
      <c r="S48" s="139">
        <v>6540</v>
      </c>
      <c r="T48" s="139">
        <v>6540</v>
      </c>
      <c r="U48" s="139">
        <v>6540</v>
      </c>
      <c r="V48" s="139">
        <v>6540</v>
      </c>
      <c r="W48" s="139">
        <v>6540</v>
      </c>
      <c r="X48" s="139">
        <v>6540</v>
      </c>
      <c r="Y48" s="139">
        <v>6540</v>
      </c>
      <c r="Z48" s="139">
        <v>6540</v>
      </c>
      <c r="AA48" s="139">
        <v>6540</v>
      </c>
      <c r="AB48" s="139">
        <v>6540</v>
      </c>
      <c r="AC48" s="139">
        <v>6540</v>
      </c>
      <c r="AD48" s="139">
        <v>7560</v>
      </c>
      <c r="AE48" s="139">
        <v>7560</v>
      </c>
      <c r="AF48" s="139">
        <v>7560</v>
      </c>
      <c r="AG48" s="139">
        <v>7560</v>
      </c>
      <c r="AH48" s="139">
        <v>7560</v>
      </c>
      <c r="AI48" s="139">
        <v>7560</v>
      </c>
      <c r="AJ48" s="139">
        <v>7560</v>
      </c>
      <c r="AK48" s="139">
        <v>7560</v>
      </c>
      <c r="AL48" s="139">
        <v>7560</v>
      </c>
      <c r="AM48" s="139">
        <v>7560</v>
      </c>
      <c r="AN48" s="139">
        <v>7560</v>
      </c>
      <c r="AO48" s="139">
        <v>7560</v>
      </c>
      <c r="AP48" s="139">
        <v>15420</v>
      </c>
      <c r="AQ48" s="139">
        <v>15420</v>
      </c>
      <c r="AR48" s="139">
        <v>15420</v>
      </c>
      <c r="AS48" s="139">
        <v>15420</v>
      </c>
      <c r="AT48" s="139">
        <v>15420</v>
      </c>
      <c r="AU48" s="139">
        <v>15420</v>
      </c>
      <c r="AV48" s="140"/>
    </row>
    <row r="49" spans="2:48" ht="15.75" customHeight="1" x14ac:dyDescent="0.2">
      <c r="B49" s="136" t="s">
        <v>30</v>
      </c>
      <c r="C49" s="137">
        <v>0</v>
      </c>
      <c r="D49" s="138">
        <v>0</v>
      </c>
      <c r="E49" s="139">
        <v>0</v>
      </c>
      <c r="F49" s="139">
        <v>0</v>
      </c>
      <c r="G49" s="139">
        <v>0</v>
      </c>
      <c r="H49" s="139">
        <v>0</v>
      </c>
      <c r="I49" s="139">
        <v>0</v>
      </c>
      <c r="J49" s="139">
        <v>0</v>
      </c>
      <c r="K49" s="139">
        <v>0</v>
      </c>
      <c r="L49" s="139">
        <v>0</v>
      </c>
      <c r="M49" s="139">
        <v>0</v>
      </c>
      <c r="N49" s="139">
        <v>0</v>
      </c>
      <c r="O49" s="139">
        <v>0</v>
      </c>
      <c r="P49" s="139">
        <v>0</v>
      </c>
      <c r="Q49" s="139">
        <v>0</v>
      </c>
      <c r="R49" s="139">
        <v>7440</v>
      </c>
      <c r="S49" s="139">
        <v>7440</v>
      </c>
      <c r="T49" s="139">
        <v>7440</v>
      </c>
      <c r="U49" s="139">
        <v>7440</v>
      </c>
      <c r="V49" s="139">
        <v>7440</v>
      </c>
      <c r="W49" s="139">
        <v>7440</v>
      </c>
      <c r="X49" s="139">
        <v>7440</v>
      </c>
      <c r="Y49" s="139">
        <v>7440</v>
      </c>
      <c r="Z49" s="139">
        <v>7440</v>
      </c>
      <c r="AA49" s="139">
        <v>7440</v>
      </c>
      <c r="AB49" s="139">
        <v>7440</v>
      </c>
      <c r="AC49" s="139">
        <v>7440</v>
      </c>
      <c r="AD49" s="139">
        <v>7680</v>
      </c>
      <c r="AE49" s="139">
        <v>7680</v>
      </c>
      <c r="AF49" s="139">
        <v>7680</v>
      </c>
      <c r="AG49" s="139">
        <v>7680</v>
      </c>
      <c r="AH49" s="139">
        <v>7680</v>
      </c>
      <c r="AI49" s="139">
        <v>7680</v>
      </c>
      <c r="AJ49" s="139">
        <v>7680</v>
      </c>
      <c r="AK49" s="139">
        <v>7680</v>
      </c>
      <c r="AL49" s="139">
        <v>7680</v>
      </c>
      <c r="AM49" s="139">
        <v>7680</v>
      </c>
      <c r="AN49" s="139">
        <v>7680</v>
      </c>
      <c r="AO49" s="139">
        <v>7680</v>
      </c>
      <c r="AP49" s="139">
        <v>7680</v>
      </c>
      <c r="AQ49" s="139">
        <v>30660</v>
      </c>
      <c r="AR49" s="139">
        <v>30660</v>
      </c>
      <c r="AS49" s="139">
        <v>30660</v>
      </c>
      <c r="AT49" s="139">
        <v>30660</v>
      </c>
      <c r="AU49" s="139">
        <v>30660</v>
      </c>
      <c r="AV49" s="140"/>
    </row>
    <row r="50" spans="2:48" ht="15.75" customHeight="1" x14ac:dyDescent="0.2">
      <c r="B50" s="136" t="s">
        <v>31</v>
      </c>
      <c r="C50" s="137">
        <v>0</v>
      </c>
      <c r="D50" s="138">
        <v>0</v>
      </c>
      <c r="E50" s="139">
        <v>0</v>
      </c>
      <c r="F50" s="139">
        <v>0</v>
      </c>
      <c r="G50" s="139">
        <v>0</v>
      </c>
      <c r="H50" s="139">
        <v>0</v>
      </c>
      <c r="I50" s="139">
        <v>0</v>
      </c>
      <c r="J50" s="139">
        <v>0</v>
      </c>
      <c r="K50" s="139">
        <v>0</v>
      </c>
      <c r="L50" s="139">
        <v>0</v>
      </c>
      <c r="M50" s="139">
        <v>0</v>
      </c>
      <c r="N50" s="139">
        <v>0</v>
      </c>
      <c r="O50" s="139">
        <v>0</v>
      </c>
      <c r="P50" s="139">
        <v>0</v>
      </c>
      <c r="Q50" s="139">
        <v>0</v>
      </c>
      <c r="R50" s="139">
        <v>0</v>
      </c>
      <c r="S50" s="139">
        <v>17040</v>
      </c>
      <c r="T50" s="139">
        <v>17040</v>
      </c>
      <c r="U50" s="139">
        <v>17040</v>
      </c>
      <c r="V50" s="139">
        <v>17040</v>
      </c>
      <c r="W50" s="139">
        <v>17040</v>
      </c>
      <c r="X50" s="139">
        <v>17040</v>
      </c>
      <c r="Y50" s="139">
        <v>17040</v>
      </c>
      <c r="Z50" s="139">
        <v>17040</v>
      </c>
      <c r="AA50" s="139">
        <v>17040</v>
      </c>
      <c r="AB50" s="139">
        <v>17040</v>
      </c>
      <c r="AC50" s="139">
        <v>17040</v>
      </c>
      <c r="AD50" s="139">
        <v>17040</v>
      </c>
      <c r="AE50" s="139">
        <v>30360</v>
      </c>
      <c r="AF50" s="139">
        <v>30360</v>
      </c>
      <c r="AG50" s="139">
        <v>30360</v>
      </c>
      <c r="AH50" s="139">
        <v>30360</v>
      </c>
      <c r="AI50" s="139">
        <v>30360</v>
      </c>
      <c r="AJ50" s="139">
        <v>30360</v>
      </c>
      <c r="AK50" s="139">
        <v>30360</v>
      </c>
      <c r="AL50" s="139">
        <v>30360</v>
      </c>
      <c r="AM50" s="139">
        <v>30360</v>
      </c>
      <c r="AN50" s="139">
        <v>30360</v>
      </c>
      <c r="AO50" s="139">
        <v>30360</v>
      </c>
      <c r="AP50" s="139">
        <v>30360</v>
      </c>
      <c r="AQ50" s="139">
        <v>0</v>
      </c>
      <c r="AR50" s="139">
        <v>0</v>
      </c>
      <c r="AS50" s="139">
        <v>0</v>
      </c>
      <c r="AT50" s="139">
        <v>0</v>
      </c>
      <c r="AU50" s="139">
        <v>0</v>
      </c>
      <c r="AV50" s="140"/>
    </row>
    <row r="51" spans="2:48" ht="15.75" customHeight="1" x14ac:dyDescent="0.2">
      <c r="B51" s="136" t="s">
        <v>32</v>
      </c>
      <c r="C51" s="137">
        <v>0</v>
      </c>
      <c r="D51" s="138">
        <v>0</v>
      </c>
      <c r="E51" s="139">
        <v>0</v>
      </c>
      <c r="F51" s="139">
        <v>0</v>
      </c>
      <c r="G51" s="139">
        <v>0</v>
      </c>
      <c r="H51" s="139">
        <v>0</v>
      </c>
      <c r="I51" s="139">
        <v>0</v>
      </c>
      <c r="J51" s="139">
        <v>0</v>
      </c>
      <c r="K51" s="139">
        <v>0</v>
      </c>
      <c r="L51" s="139">
        <v>0</v>
      </c>
      <c r="M51" s="139">
        <v>0</v>
      </c>
      <c r="N51" s="139">
        <v>0</v>
      </c>
      <c r="O51" s="139">
        <v>0</v>
      </c>
      <c r="P51" s="139">
        <v>0</v>
      </c>
      <c r="Q51" s="139">
        <v>0</v>
      </c>
      <c r="R51" s="139">
        <v>0</v>
      </c>
      <c r="S51" s="139">
        <v>8580</v>
      </c>
      <c r="T51" s="139">
        <v>8580</v>
      </c>
      <c r="U51" s="139">
        <v>8580</v>
      </c>
      <c r="V51" s="139">
        <v>8580</v>
      </c>
      <c r="W51" s="139">
        <v>8580</v>
      </c>
      <c r="X51" s="139">
        <v>8580</v>
      </c>
      <c r="Y51" s="139">
        <v>8580</v>
      </c>
      <c r="Z51" s="139">
        <v>8580</v>
      </c>
      <c r="AA51" s="139">
        <v>8580</v>
      </c>
      <c r="AB51" s="139">
        <v>8580</v>
      </c>
      <c r="AC51" s="139">
        <v>8580</v>
      </c>
      <c r="AD51" s="139">
        <v>8580</v>
      </c>
      <c r="AE51" s="139">
        <v>8580</v>
      </c>
      <c r="AF51" s="139">
        <v>8580</v>
      </c>
      <c r="AG51" s="139">
        <v>8580</v>
      </c>
      <c r="AH51" s="139">
        <v>8580</v>
      </c>
      <c r="AI51" s="139">
        <v>8580</v>
      </c>
      <c r="AJ51" s="139">
        <v>8580</v>
      </c>
      <c r="AK51" s="139">
        <v>8580</v>
      </c>
      <c r="AL51" s="139">
        <v>8580</v>
      </c>
      <c r="AM51" s="139">
        <v>8580</v>
      </c>
      <c r="AN51" s="139">
        <v>8580</v>
      </c>
      <c r="AO51" s="139">
        <v>8580</v>
      </c>
      <c r="AP51" s="139">
        <v>8580</v>
      </c>
      <c r="AQ51" s="139">
        <v>12240</v>
      </c>
      <c r="AR51" s="139">
        <v>12240</v>
      </c>
      <c r="AS51" s="139">
        <v>12240</v>
      </c>
      <c r="AT51" s="139">
        <v>12240</v>
      </c>
      <c r="AU51" s="139">
        <v>12240</v>
      </c>
      <c r="AV51" s="140"/>
    </row>
    <row r="52" spans="2:48" ht="15.75" customHeight="1" x14ac:dyDescent="0.2">
      <c r="B52" s="136" t="s">
        <v>33</v>
      </c>
      <c r="C52" s="137">
        <v>0</v>
      </c>
      <c r="D52" s="138">
        <v>0</v>
      </c>
      <c r="E52" s="139">
        <v>0</v>
      </c>
      <c r="F52" s="139">
        <v>0</v>
      </c>
      <c r="G52" s="139">
        <v>0</v>
      </c>
      <c r="H52" s="139">
        <v>0</v>
      </c>
      <c r="I52" s="139">
        <v>0</v>
      </c>
      <c r="J52" s="139">
        <v>0</v>
      </c>
      <c r="K52" s="139">
        <v>0</v>
      </c>
      <c r="L52" s="139">
        <v>0</v>
      </c>
      <c r="M52" s="139">
        <v>0</v>
      </c>
      <c r="N52" s="139">
        <v>0</v>
      </c>
      <c r="O52" s="139">
        <v>0</v>
      </c>
      <c r="P52" s="139">
        <v>0</v>
      </c>
      <c r="Q52" s="139">
        <v>0</v>
      </c>
      <c r="R52" s="139">
        <v>0</v>
      </c>
      <c r="S52" s="139">
        <v>12600</v>
      </c>
      <c r="T52" s="139">
        <v>12600</v>
      </c>
      <c r="U52" s="139">
        <v>12600</v>
      </c>
      <c r="V52" s="139">
        <v>12600</v>
      </c>
      <c r="W52" s="139">
        <v>12600</v>
      </c>
      <c r="X52" s="139">
        <v>12600</v>
      </c>
      <c r="Y52" s="139">
        <v>12600</v>
      </c>
      <c r="Z52" s="139">
        <v>12600</v>
      </c>
      <c r="AA52" s="139">
        <v>12600</v>
      </c>
      <c r="AB52" s="139">
        <v>12600</v>
      </c>
      <c r="AC52" s="139">
        <v>12600</v>
      </c>
      <c r="AD52" s="139">
        <v>12600</v>
      </c>
      <c r="AE52" s="139">
        <v>12600</v>
      </c>
      <c r="AF52" s="139">
        <v>29232</v>
      </c>
      <c r="AG52" s="139">
        <v>29232</v>
      </c>
      <c r="AH52" s="139">
        <v>29232</v>
      </c>
      <c r="AI52" s="139">
        <v>29232</v>
      </c>
      <c r="AJ52" s="139">
        <v>29232</v>
      </c>
      <c r="AK52" s="139">
        <v>29232</v>
      </c>
      <c r="AL52" s="139">
        <v>29232</v>
      </c>
      <c r="AM52" s="139">
        <v>29232</v>
      </c>
      <c r="AN52" s="139">
        <v>29232</v>
      </c>
      <c r="AO52" s="139">
        <v>29232</v>
      </c>
      <c r="AP52" s="139">
        <v>29232</v>
      </c>
      <c r="AQ52" s="139">
        <v>29232</v>
      </c>
      <c r="AR52" s="139">
        <v>29232</v>
      </c>
      <c r="AS52" s="139">
        <v>25200</v>
      </c>
      <c r="AT52" s="139">
        <v>25200</v>
      </c>
      <c r="AU52" s="139">
        <v>25200</v>
      </c>
      <c r="AV52" s="140"/>
    </row>
    <row r="53" spans="2:48" ht="15.75" customHeight="1" x14ac:dyDescent="0.2">
      <c r="B53" s="136" t="s">
        <v>34</v>
      </c>
      <c r="C53" s="137">
        <v>0</v>
      </c>
      <c r="D53" s="138">
        <v>0</v>
      </c>
      <c r="E53" s="139">
        <v>0</v>
      </c>
      <c r="F53" s="139">
        <v>0</v>
      </c>
      <c r="G53" s="139">
        <v>0</v>
      </c>
      <c r="H53" s="139">
        <v>0</v>
      </c>
      <c r="I53" s="139">
        <v>0</v>
      </c>
      <c r="J53" s="139">
        <v>0</v>
      </c>
      <c r="K53" s="139">
        <v>0</v>
      </c>
      <c r="L53" s="139">
        <v>0</v>
      </c>
      <c r="M53" s="139">
        <v>0</v>
      </c>
      <c r="N53" s="139">
        <v>0</v>
      </c>
      <c r="O53" s="139">
        <v>0</v>
      </c>
      <c r="P53" s="139">
        <v>0</v>
      </c>
      <c r="Q53" s="139">
        <v>0</v>
      </c>
      <c r="R53" s="139">
        <v>0</v>
      </c>
      <c r="S53" s="139">
        <v>6000</v>
      </c>
      <c r="T53" s="139">
        <v>6000</v>
      </c>
      <c r="U53" s="139">
        <v>6000</v>
      </c>
      <c r="V53" s="139">
        <v>6000</v>
      </c>
      <c r="W53" s="139">
        <v>6000</v>
      </c>
      <c r="X53" s="139">
        <v>6000</v>
      </c>
      <c r="Y53" s="139">
        <v>6000</v>
      </c>
      <c r="Z53" s="139">
        <v>6000</v>
      </c>
      <c r="AA53" s="139">
        <v>6000</v>
      </c>
      <c r="AB53" s="139">
        <v>6000</v>
      </c>
      <c r="AC53" s="139">
        <v>6000</v>
      </c>
      <c r="AD53" s="139">
        <v>6000</v>
      </c>
      <c r="AE53" s="139">
        <v>6000</v>
      </c>
      <c r="AF53" s="139">
        <v>6000</v>
      </c>
      <c r="AG53" s="139">
        <v>6000</v>
      </c>
      <c r="AH53" s="139">
        <v>6000</v>
      </c>
      <c r="AI53" s="139">
        <v>6000</v>
      </c>
      <c r="AJ53" s="139">
        <v>6000</v>
      </c>
      <c r="AK53" s="139">
        <v>6000</v>
      </c>
      <c r="AL53" s="139">
        <v>6000</v>
      </c>
      <c r="AM53" s="139">
        <v>6000</v>
      </c>
      <c r="AN53" s="139">
        <v>6000</v>
      </c>
      <c r="AO53" s="139">
        <v>6000</v>
      </c>
      <c r="AP53" s="139">
        <v>6000</v>
      </c>
      <c r="AQ53" s="139">
        <v>9720</v>
      </c>
      <c r="AR53" s="139">
        <v>10620</v>
      </c>
      <c r="AS53" s="139">
        <v>10620</v>
      </c>
      <c r="AT53" s="139">
        <v>10620</v>
      </c>
      <c r="AU53" s="139">
        <v>10620</v>
      </c>
      <c r="AV53" s="140"/>
    </row>
    <row r="54" spans="2:48" ht="15.75" customHeight="1" x14ac:dyDescent="0.2">
      <c r="B54" s="136" t="s">
        <v>35</v>
      </c>
      <c r="C54" s="137">
        <v>0</v>
      </c>
      <c r="D54" s="138">
        <v>0</v>
      </c>
      <c r="E54" s="139">
        <v>0</v>
      </c>
      <c r="F54" s="139">
        <v>0</v>
      </c>
      <c r="G54" s="139">
        <v>0</v>
      </c>
      <c r="H54" s="139">
        <v>0</v>
      </c>
      <c r="I54" s="139">
        <v>0</v>
      </c>
      <c r="J54" s="139">
        <v>0</v>
      </c>
      <c r="K54" s="139">
        <v>0</v>
      </c>
      <c r="L54" s="139">
        <v>0</v>
      </c>
      <c r="M54" s="139">
        <v>0</v>
      </c>
      <c r="N54" s="139">
        <v>0</v>
      </c>
      <c r="O54" s="139">
        <v>0</v>
      </c>
      <c r="P54" s="139">
        <v>0</v>
      </c>
      <c r="Q54" s="139">
        <v>0</v>
      </c>
      <c r="R54" s="139">
        <v>0</v>
      </c>
      <c r="S54" s="139">
        <v>17820</v>
      </c>
      <c r="T54" s="139">
        <v>17820</v>
      </c>
      <c r="U54" s="139">
        <v>17820</v>
      </c>
      <c r="V54" s="139">
        <v>17820</v>
      </c>
      <c r="W54" s="139">
        <v>17820</v>
      </c>
      <c r="X54" s="139">
        <v>17820</v>
      </c>
      <c r="Y54" s="139">
        <v>17820</v>
      </c>
      <c r="Z54" s="139">
        <v>17820</v>
      </c>
      <c r="AA54" s="139">
        <v>17820</v>
      </c>
      <c r="AB54" s="139">
        <v>17820</v>
      </c>
      <c r="AC54" s="139">
        <v>17820</v>
      </c>
      <c r="AD54" s="139">
        <v>17820</v>
      </c>
      <c r="AE54" s="139">
        <v>31140</v>
      </c>
      <c r="AF54" s="139">
        <v>31140</v>
      </c>
      <c r="AG54" s="139">
        <v>31140</v>
      </c>
      <c r="AH54" s="139">
        <v>31140</v>
      </c>
      <c r="AI54" s="139">
        <v>31140</v>
      </c>
      <c r="AJ54" s="139">
        <v>31140</v>
      </c>
      <c r="AK54" s="139">
        <v>31140</v>
      </c>
      <c r="AL54" s="139">
        <v>31140</v>
      </c>
      <c r="AM54" s="139">
        <v>31140</v>
      </c>
      <c r="AN54" s="139">
        <v>31140</v>
      </c>
      <c r="AO54" s="139">
        <v>31140</v>
      </c>
      <c r="AP54" s="139">
        <v>31140</v>
      </c>
      <c r="AQ54" s="139">
        <v>62040</v>
      </c>
      <c r="AR54" s="139">
        <v>62040</v>
      </c>
      <c r="AS54" s="139">
        <v>62040</v>
      </c>
      <c r="AT54" s="139">
        <v>62040</v>
      </c>
      <c r="AU54" s="139">
        <v>62040</v>
      </c>
      <c r="AV54" s="140"/>
    </row>
    <row r="55" spans="2:48" ht="15.75" customHeight="1" x14ac:dyDescent="0.2">
      <c r="B55" s="136" t="s">
        <v>36</v>
      </c>
      <c r="C55" s="137">
        <v>0</v>
      </c>
      <c r="D55" s="138">
        <v>0</v>
      </c>
      <c r="E55" s="139">
        <v>0</v>
      </c>
      <c r="F55" s="139">
        <v>0</v>
      </c>
      <c r="G55" s="139">
        <v>0</v>
      </c>
      <c r="H55" s="139">
        <v>0</v>
      </c>
      <c r="I55" s="139">
        <v>0</v>
      </c>
      <c r="J55" s="139">
        <v>0</v>
      </c>
      <c r="K55" s="139">
        <v>0</v>
      </c>
      <c r="L55" s="139">
        <v>0</v>
      </c>
      <c r="M55" s="139">
        <v>0</v>
      </c>
      <c r="N55" s="139">
        <v>0</v>
      </c>
      <c r="O55" s="139">
        <v>0</v>
      </c>
      <c r="P55" s="139">
        <v>0</v>
      </c>
      <c r="Q55" s="139">
        <v>0</v>
      </c>
      <c r="R55" s="139">
        <v>0</v>
      </c>
      <c r="S55" s="139">
        <v>12150</v>
      </c>
      <c r="T55" s="139">
        <v>12150</v>
      </c>
      <c r="U55" s="139">
        <v>12150</v>
      </c>
      <c r="V55" s="139">
        <v>12150</v>
      </c>
      <c r="W55" s="139">
        <v>12150</v>
      </c>
      <c r="X55" s="139">
        <v>12150</v>
      </c>
      <c r="Y55" s="139">
        <v>12150</v>
      </c>
      <c r="Z55" s="139">
        <v>12150</v>
      </c>
      <c r="AA55" s="139">
        <v>12150</v>
      </c>
      <c r="AB55" s="139">
        <v>17226</v>
      </c>
      <c r="AC55" s="139">
        <v>17226</v>
      </c>
      <c r="AD55" s="139">
        <v>17226</v>
      </c>
      <c r="AE55" s="139">
        <v>17226</v>
      </c>
      <c r="AF55" s="139">
        <v>17226</v>
      </c>
      <c r="AG55" s="139">
        <v>17226</v>
      </c>
      <c r="AH55" s="139">
        <v>17226</v>
      </c>
      <c r="AI55" s="139">
        <v>17226</v>
      </c>
      <c r="AJ55" s="139">
        <v>17226</v>
      </c>
      <c r="AK55" s="139">
        <v>17226</v>
      </c>
      <c r="AL55" s="139">
        <v>17226</v>
      </c>
      <c r="AM55" s="139">
        <v>17226</v>
      </c>
      <c r="AN55" s="139">
        <v>17226</v>
      </c>
      <c r="AO55" s="139">
        <v>17226</v>
      </c>
      <c r="AP55" s="139">
        <v>17226</v>
      </c>
      <c r="AQ55" s="139">
        <v>0</v>
      </c>
      <c r="AR55" s="139">
        <v>0</v>
      </c>
      <c r="AS55" s="139">
        <v>0</v>
      </c>
      <c r="AT55" s="139">
        <v>0</v>
      </c>
      <c r="AU55" s="139">
        <v>0</v>
      </c>
      <c r="AV55" s="140"/>
    </row>
    <row r="56" spans="2:48" ht="15.75" customHeight="1" x14ac:dyDescent="0.2">
      <c r="B56" s="136" t="s">
        <v>37</v>
      </c>
      <c r="C56" s="137">
        <v>0</v>
      </c>
      <c r="D56" s="138">
        <v>0</v>
      </c>
      <c r="E56" s="139">
        <v>0</v>
      </c>
      <c r="F56" s="139">
        <v>0</v>
      </c>
      <c r="G56" s="139">
        <v>0</v>
      </c>
      <c r="H56" s="139">
        <v>0</v>
      </c>
      <c r="I56" s="139">
        <v>0</v>
      </c>
      <c r="J56" s="139">
        <v>0</v>
      </c>
      <c r="K56" s="139">
        <v>0</v>
      </c>
      <c r="L56" s="139">
        <v>0</v>
      </c>
      <c r="M56" s="139">
        <v>0</v>
      </c>
      <c r="N56" s="139">
        <v>0</v>
      </c>
      <c r="O56" s="139">
        <v>0</v>
      </c>
      <c r="P56" s="139">
        <v>0</v>
      </c>
      <c r="Q56" s="139">
        <v>0</v>
      </c>
      <c r="R56" s="139">
        <v>0</v>
      </c>
      <c r="S56" s="139">
        <v>7980</v>
      </c>
      <c r="T56" s="139">
        <v>7980</v>
      </c>
      <c r="U56" s="139">
        <v>7980</v>
      </c>
      <c r="V56" s="139">
        <v>7980</v>
      </c>
      <c r="W56" s="139">
        <v>7980</v>
      </c>
      <c r="X56" s="139">
        <v>7980</v>
      </c>
      <c r="Y56" s="139">
        <v>7980</v>
      </c>
      <c r="Z56" s="139">
        <v>7980</v>
      </c>
      <c r="AA56" s="139">
        <v>7980</v>
      </c>
      <c r="AB56" s="139">
        <v>7980</v>
      </c>
      <c r="AC56" s="139">
        <v>7980</v>
      </c>
      <c r="AD56" s="139">
        <v>7980</v>
      </c>
      <c r="AE56" s="139">
        <v>7980</v>
      </c>
      <c r="AF56" s="139">
        <v>0</v>
      </c>
      <c r="AG56" s="139">
        <v>0</v>
      </c>
      <c r="AH56" s="139">
        <v>0</v>
      </c>
      <c r="AI56" s="139">
        <v>0</v>
      </c>
      <c r="AJ56" s="139">
        <v>0</v>
      </c>
      <c r="AK56" s="139">
        <v>0</v>
      </c>
      <c r="AL56" s="139">
        <v>0</v>
      </c>
      <c r="AM56" s="139">
        <v>0</v>
      </c>
      <c r="AN56" s="139">
        <v>0</v>
      </c>
      <c r="AO56" s="139">
        <v>0</v>
      </c>
      <c r="AP56" s="139">
        <v>0</v>
      </c>
      <c r="AQ56" s="139">
        <v>0</v>
      </c>
      <c r="AR56" s="139">
        <v>0</v>
      </c>
      <c r="AS56" s="139">
        <v>0</v>
      </c>
      <c r="AT56" s="139">
        <v>0</v>
      </c>
      <c r="AU56" s="139">
        <v>0</v>
      </c>
      <c r="AV56" s="140"/>
    </row>
    <row r="57" spans="2:48" ht="15.75" customHeight="1" x14ac:dyDescent="0.2">
      <c r="B57" s="136" t="s">
        <v>38</v>
      </c>
      <c r="C57" s="137">
        <v>0</v>
      </c>
      <c r="D57" s="138">
        <v>0</v>
      </c>
      <c r="E57" s="139">
        <v>0</v>
      </c>
      <c r="F57" s="139">
        <v>0</v>
      </c>
      <c r="G57" s="139">
        <v>0</v>
      </c>
      <c r="H57" s="139">
        <v>0</v>
      </c>
      <c r="I57" s="139">
        <v>0</v>
      </c>
      <c r="J57" s="139">
        <v>0</v>
      </c>
      <c r="K57" s="139">
        <v>0</v>
      </c>
      <c r="L57" s="139">
        <v>0</v>
      </c>
      <c r="M57" s="139">
        <v>0</v>
      </c>
      <c r="N57" s="139">
        <v>0</v>
      </c>
      <c r="O57" s="139">
        <v>0</v>
      </c>
      <c r="P57" s="139">
        <v>0</v>
      </c>
      <c r="Q57" s="139">
        <v>0</v>
      </c>
      <c r="R57" s="139">
        <v>0</v>
      </c>
      <c r="S57" s="139">
        <v>10368</v>
      </c>
      <c r="T57" s="139">
        <v>10368</v>
      </c>
      <c r="U57" s="139">
        <v>10368</v>
      </c>
      <c r="V57" s="139">
        <v>10368</v>
      </c>
      <c r="W57" s="139">
        <v>10368</v>
      </c>
      <c r="X57" s="139">
        <v>10368</v>
      </c>
      <c r="Y57" s="139">
        <v>10368</v>
      </c>
      <c r="Z57" s="139">
        <v>10368</v>
      </c>
      <c r="AA57" s="139">
        <v>10368</v>
      </c>
      <c r="AB57" s="139">
        <v>10368</v>
      </c>
      <c r="AC57" s="139">
        <v>10368</v>
      </c>
      <c r="AD57" s="139">
        <v>10368</v>
      </c>
      <c r="AE57" s="139">
        <v>10368</v>
      </c>
      <c r="AF57" s="139">
        <v>12816</v>
      </c>
      <c r="AG57" s="139">
        <v>12816</v>
      </c>
      <c r="AH57" s="139">
        <v>12816</v>
      </c>
      <c r="AI57" s="139">
        <v>12816</v>
      </c>
      <c r="AJ57" s="139">
        <v>12816</v>
      </c>
      <c r="AK57" s="139">
        <v>12816</v>
      </c>
      <c r="AL57" s="139">
        <v>12816</v>
      </c>
      <c r="AM57" s="139">
        <v>12816</v>
      </c>
      <c r="AN57" s="139">
        <v>12816</v>
      </c>
      <c r="AO57" s="139">
        <v>12816</v>
      </c>
      <c r="AP57" s="139">
        <v>12816</v>
      </c>
      <c r="AQ57" s="139">
        <v>12816</v>
      </c>
      <c r="AR57" s="139">
        <v>0</v>
      </c>
      <c r="AS57" s="139">
        <v>0</v>
      </c>
      <c r="AT57" s="139">
        <v>0</v>
      </c>
      <c r="AU57" s="139">
        <v>0</v>
      </c>
      <c r="AV57" s="140"/>
    </row>
    <row r="58" spans="2:48" ht="15.75" customHeight="1" x14ac:dyDescent="0.2">
      <c r="B58" s="136" t="s">
        <v>39</v>
      </c>
      <c r="C58" s="137">
        <v>0</v>
      </c>
      <c r="D58" s="138">
        <v>0</v>
      </c>
      <c r="E58" s="139">
        <v>0</v>
      </c>
      <c r="F58" s="139">
        <v>0</v>
      </c>
      <c r="G58" s="139">
        <v>0</v>
      </c>
      <c r="H58" s="139">
        <v>0</v>
      </c>
      <c r="I58" s="139">
        <v>0</v>
      </c>
      <c r="J58" s="139">
        <v>0</v>
      </c>
      <c r="K58" s="139">
        <v>0</v>
      </c>
      <c r="L58" s="139">
        <v>0</v>
      </c>
      <c r="M58" s="139">
        <v>0</v>
      </c>
      <c r="N58" s="139">
        <v>0</v>
      </c>
      <c r="O58" s="139">
        <v>0</v>
      </c>
      <c r="P58" s="139">
        <v>0</v>
      </c>
      <c r="Q58" s="139">
        <v>0</v>
      </c>
      <c r="R58" s="139">
        <v>0</v>
      </c>
      <c r="S58" s="139">
        <v>20160</v>
      </c>
      <c r="T58" s="139">
        <v>20640</v>
      </c>
      <c r="U58" s="139">
        <v>20880</v>
      </c>
      <c r="V58" s="139">
        <v>20880</v>
      </c>
      <c r="W58" s="139">
        <v>20880</v>
      </c>
      <c r="X58" s="139">
        <v>20880</v>
      </c>
      <c r="Y58" s="139">
        <v>20880</v>
      </c>
      <c r="Z58" s="139">
        <v>20880</v>
      </c>
      <c r="AA58" s="139">
        <v>20880</v>
      </c>
      <c r="AB58" s="139">
        <v>20880</v>
      </c>
      <c r="AC58" s="139">
        <v>20880</v>
      </c>
      <c r="AD58" s="139">
        <v>20880</v>
      </c>
      <c r="AE58" s="139">
        <v>20880</v>
      </c>
      <c r="AF58" s="139">
        <v>20880</v>
      </c>
      <c r="AG58" s="139">
        <v>20880</v>
      </c>
      <c r="AH58" s="139">
        <v>20880</v>
      </c>
      <c r="AI58" s="139">
        <v>20880</v>
      </c>
      <c r="AJ58" s="139">
        <v>27480</v>
      </c>
      <c r="AK58" s="139">
        <v>27480</v>
      </c>
      <c r="AL58" s="139">
        <v>27480</v>
      </c>
      <c r="AM58" s="139">
        <v>27480</v>
      </c>
      <c r="AN58" s="139">
        <v>34344</v>
      </c>
      <c r="AO58" s="139">
        <v>34344</v>
      </c>
      <c r="AP58" s="139">
        <v>34344</v>
      </c>
      <c r="AQ58" s="139">
        <v>34344</v>
      </c>
      <c r="AR58" s="139">
        <v>34344</v>
      </c>
      <c r="AS58" s="139">
        <v>49834</v>
      </c>
      <c r="AT58" s="139">
        <v>49834</v>
      </c>
      <c r="AU58" s="139">
        <v>49834</v>
      </c>
      <c r="AV58" s="140"/>
    </row>
    <row r="59" spans="2:48" ht="15.75" customHeight="1" x14ac:dyDescent="0.2">
      <c r="B59" s="136" t="s">
        <v>40</v>
      </c>
      <c r="C59" s="137">
        <v>0</v>
      </c>
      <c r="D59" s="138">
        <v>0</v>
      </c>
      <c r="E59" s="139">
        <v>0</v>
      </c>
      <c r="F59" s="139">
        <v>0</v>
      </c>
      <c r="G59" s="139">
        <v>0</v>
      </c>
      <c r="H59" s="139">
        <v>0</v>
      </c>
      <c r="I59" s="139">
        <v>0</v>
      </c>
      <c r="J59" s="139">
        <v>0</v>
      </c>
      <c r="K59" s="139">
        <v>0</v>
      </c>
      <c r="L59" s="139">
        <v>0</v>
      </c>
      <c r="M59" s="139">
        <v>0</v>
      </c>
      <c r="N59" s="139">
        <v>0</v>
      </c>
      <c r="O59" s="139">
        <v>0</v>
      </c>
      <c r="P59" s="139">
        <v>0</v>
      </c>
      <c r="Q59" s="139">
        <v>0</v>
      </c>
      <c r="R59" s="139">
        <v>0</v>
      </c>
      <c r="S59" s="139">
        <v>0</v>
      </c>
      <c r="T59" s="139">
        <v>10020</v>
      </c>
      <c r="U59" s="139">
        <v>10020</v>
      </c>
      <c r="V59" s="139">
        <v>10020</v>
      </c>
      <c r="W59" s="139">
        <v>10020</v>
      </c>
      <c r="X59" s="139">
        <v>10020</v>
      </c>
      <c r="Y59" s="139">
        <v>10020</v>
      </c>
      <c r="Z59" s="139">
        <v>10020</v>
      </c>
      <c r="AA59" s="139">
        <v>10020</v>
      </c>
      <c r="AB59" s="139">
        <v>10020</v>
      </c>
      <c r="AC59" s="139">
        <v>10020</v>
      </c>
      <c r="AD59" s="139">
        <v>10020</v>
      </c>
      <c r="AE59" s="139">
        <v>10020</v>
      </c>
      <c r="AF59" s="139">
        <v>9600</v>
      </c>
      <c r="AG59" s="139">
        <v>9600</v>
      </c>
      <c r="AH59" s="139">
        <v>9600</v>
      </c>
      <c r="AI59" s="139">
        <v>9600</v>
      </c>
      <c r="AJ59" s="139">
        <v>9600</v>
      </c>
      <c r="AK59" s="139">
        <v>9600</v>
      </c>
      <c r="AL59" s="139">
        <v>9600</v>
      </c>
      <c r="AM59" s="139">
        <v>9600</v>
      </c>
      <c r="AN59" s="139">
        <v>9600</v>
      </c>
      <c r="AO59" s="139">
        <v>9600</v>
      </c>
      <c r="AP59" s="139">
        <v>9600</v>
      </c>
      <c r="AQ59" s="139">
        <v>9600</v>
      </c>
      <c r="AR59" s="139">
        <v>33540</v>
      </c>
      <c r="AS59" s="139">
        <v>33540</v>
      </c>
      <c r="AT59" s="139">
        <v>33540</v>
      </c>
      <c r="AU59" s="139">
        <v>33540</v>
      </c>
      <c r="AV59" s="140"/>
    </row>
    <row r="60" spans="2:48" ht="15.75" customHeight="1" x14ac:dyDescent="0.2">
      <c r="B60" s="136" t="s">
        <v>41</v>
      </c>
      <c r="C60" s="137">
        <v>0</v>
      </c>
      <c r="D60" s="138">
        <v>0</v>
      </c>
      <c r="E60" s="139">
        <v>0</v>
      </c>
      <c r="F60" s="139">
        <v>0</v>
      </c>
      <c r="G60" s="139">
        <v>0</v>
      </c>
      <c r="H60" s="139">
        <v>0</v>
      </c>
      <c r="I60" s="139">
        <v>0</v>
      </c>
      <c r="J60" s="139">
        <v>0</v>
      </c>
      <c r="K60" s="139">
        <v>0</v>
      </c>
      <c r="L60" s="139">
        <v>0</v>
      </c>
      <c r="M60" s="139">
        <v>0</v>
      </c>
      <c r="N60" s="139">
        <v>0</v>
      </c>
      <c r="O60" s="139">
        <v>0</v>
      </c>
      <c r="P60" s="139">
        <v>0</v>
      </c>
      <c r="Q60" s="139">
        <v>0</v>
      </c>
      <c r="R60" s="139">
        <v>0</v>
      </c>
      <c r="S60" s="139">
        <v>0</v>
      </c>
      <c r="T60" s="139">
        <v>7500</v>
      </c>
      <c r="U60" s="139">
        <v>7500</v>
      </c>
      <c r="V60" s="139">
        <v>7500</v>
      </c>
      <c r="W60" s="139">
        <v>7500</v>
      </c>
      <c r="X60" s="139">
        <v>7500</v>
      </c>
      <c r="Y60" s="139">
        <v>7500</v>
      </c>
      <c r="Z60" s="139">
        <v>7500</v>
      </c>
      <c r="AA60" s="139">
        <v>7500</v>
      </c>
      <c r="AB60" s="139">
        <v>7500</v>
      </c>
      <c r="AC60" s="139">
        <v>7500</v>
      </c>
      <c r="AD60" s="139">
        <v>7500</v>
      </c>
      <c r="AE60" s="139">
        <v>7500</v>
      </c>
      <c r="AF60" s="139">
        <v>7500</v>
      </c>
      <c r="AG60" s="139">
        <v>10260</v>
      </c>
      <c r="AH60" s="139">
        <v>10260</v>
      </c>
      <c r="AI60" s="139">
        <v>10260</v>
      </c>
      <c r="AJ60" s="139">
        <v>10260</v>
      </c>
      <c r="AK60" s="139">
        <v>10260</v>
      </c>
      <c r="AL60" s="139">
        <v>10260</v>
      </c>
      <c r="AM60" s="139">
        <v>10260</v>
      </c>
      <c r="AN60" s="139">
        <v>10260</v>
      </c>
      <c r="AO60" s="139">
        <v>10260</v>
      </c>
      <c r="AP60" s="139">
        <v>10260</v>
      </c>
      <c r="AQ60" s="139">
        <v>10260</v>
      </c>
      <c r="AR60" s="139">
        <v>10260</v>
      </c>
      <c r="AS60" s="139">
        <v>19020</v>
      </c>
      <c r="AT60" s="139">
        <v>19020</v>
      </c>
      <c r="AU60" s="139">
        <v>19020</v>
      </c>
      <c r="AV60" s="140"/>
    </row>
    <row r="61" spans="2:48" ht="15.75" customHeight="1" x14ac:dyDescent="0.2">
      <c r="B61" s="136" t="s">
        <v>42</v>
      </c>
      <c r="C61" s="137">
        <v>0</v>
      </c>
      <c r="D61" s="138">
        <v>0</v>
      </c>
      <c r="E61" s="139">
        <v>0</v>
      </c>
      <c r="F61" s="139">
        <v>0</v>
      </c>
      <c r="G61" s="139">
        <v>0</v>
      </c>
      <c r="H61" s="139">
        <v>0</v>
      </c>
      <c r="I61" s="139">
        <v>0</v>
      </c>
      <c r="J61" s="139">
        <v>0</v>
      </c>
      <c r="K61" s="139">
        <v>0</v>
      </c>
      <c r="L61" s="139">
        <v>0</v>
      </c>
      <c r="M61" s="139">
        <v>0</v>
      </c>
      <c r="N61" s="139">
        <v>0</v>
      </c>
      <c r="O61" s="139">
        <v>0</v>
      </c>
      <c r="P61" s="139">
        <v>0</v>
      </c>
      <c r="Q61" s="139">
        <v>0</v>
      </c>
      <c r="R61" s="139">
        <v>0</v>
      </c>
      <c r="S61" s="139">
        <v>0</v>
      </c>
      <c r="T61" s="139">
        <v>20124</v>
      </c>
      <c r="U61" s="139">
        <v>20124</v>
      </c>
      <c r="V61" s="139">
        <v>20124</v>
      </c>
      <c r="W61" s="139">
        <v>20124</v>
      </c>
      <c r="X61" s="139">
        <v>20124</v>
      </c>
      <c r="Y61" s="139">
        <v>20124</v>
      </c>
      <c r="Z61" s="139">
        <v>20124</v>
      </c>
      <c r="AA61" s="139">
        <v>20124</v>
      </c>
      <c r="AB61" s="139">
        <v>20124</v>
      </c>
      <c r="AC61" s="139">
        <v>20124</v>
      </c>
      <c r="AD61" s="139">
        <v>20124</v>
      </c>
      <c r="AE61" s="139">
        <v>20124</v>
      </c>
      <c r="AF61" s="139">
        <v>29133</v>
      </c>
      <c r="AG61" s="139">
        <v>29133</v>
      </c>
      <c r="AH61" s="139">
        <v>29133</v>
      </c>
      <c r="AI61" s="139">
        <v>29133</v>
      </c>
      <c r="AJ61" s="139">
        <v>29133</v>
      </c>
      <c r="AK61" s="139">
        <v>29133</v>
      </c>
      <c r="AL61" s="139">
        <v>29133</v>
      </c>
      <c r="AM61" s="139">
        <v>29133</v>
      </c>
      <c r="AN61" s="139">
        <v>29133</v>
      </c>
      <c r="AO61" s="139">
        <v>29133</v>
      </c>
      <c r="AP61" s="139">
        <v>29133</v>
      </c>
      <c r="AQ61" s="139">
        <v>29133</v>
      </c>
      <c r="AR61" s="139">
        <v>0</v>
      </c>
      <c r="AS61" s="139">
        <v>0</v>
      </c>
      <c r="AT61" s="139">
        <v>0</v>
      </c>
      <c r="AU61" s="139">
        <v>0</v>
      </c>
      <c r="AV61" s="140"/>
    </row>
    <row r="62" spans="2:48" ht="15.75" customHeight="1" x14ac:dyDescent="0.2">
      <c r="B62" s="136" t="s">
        <v>43</v>
      </c>
      <c r="C62" s="137">
        <v>0</v>
      </c>
      <c r="D62" s="138">
        <v>0</v>
      </c>
      <c r="E62" s="139">
        <v>0</v>
      </c>
      <c r="F62" s="139">
        <v>0</v>
      </c>
      <c r="G62" s="139">
        <v>0</v>
      </c>
      <c r="H62" s="139">
        <v>0</v>
      </c>
      <c r="I62" s="139">
        <v>0</v>
      </c>
      <c r="J62" s="139">
        <v>0</v>
      </c>
      <c r="K62" s="139">
        <v>0</v>
      </c>
      <c r="L62" s="139">
        <v>0</v>
      </c>
      <c r="M62" s="139">
        <v>0</v>
      </c>
      <c r="N62" s="139">
        <v>0</v>
      </c>
      <c r="O62" s="139">
        <v>0</v>
      </c>
      <c r="P62" s="139">
        <v>0</v>
      </c>
      <c r="Q62" s="139">
        <v>0</v>
      </c>
      <c r="R62" s="139">
        <v>0</v>
      </c>
      <c r="S62" s="139">
        <v>0</v>
      </c>
      <c r="T62" s="139">
        <v>7500</v>
      </c>
      <c r="U62" s="139">
        <v>7500</v>
      </c>
      <c r="V62" s="139">
        <v>7500</v>
      </c>
      <c r="W62" s="139">
        <v>7500</v>
      </c>
      <c r="X62" s="139">
        <v>7500</v>
      </c>
      <c r="Y62" s="139">
        <v>7500</v>
      </c>
      <c r="Z62" s="139">
        <v>7500</v>
      </c>
      <c r="AA62" s="139">
        <v>7500</v>
      </c>
      <c r="AB62" s="139">
        <v>7500</v>
      </c>
      <c r="AC62" s="139">
        <v>7500</v>
      </c>
      <c r="AD62" s="139">
        <v>7500</v>
      </c>
      <c r="AE62" s="139">
        <v>7500</v>
      </c>
      <c r="AF62" s="139">
        <v>9060</v>
      </c>
      <c r="AG62" s="139">
        <v>9060</v>
      </c>
      <c r="AH62" s="139">
        <v>9060</v>
      </c>
      <c r="AI62" s="139">
        <v>9060</v>
      </c>
      <c r="AJ62" s="139">
        <v>9060</v>
      </c>
      <c r="AK62" s="139">
        <v>9060</v>
      </c>
      <c r="AL62" s="139">
        <v>9060</v>
      </c>
      <c r="AM62" s="139">
        <v>9060</v>
      </c>
      <c r="AN62" s="139">
        <v>9060</v>
      </c>
      <c r="AO62" s="139">
        <v>9060</v>
      </c>
      <c r="AP62" s="139">
        <v>9060</v>
      </c>
      <c r="AQ62" s="139">
        <v>12240</v>
      </c>
      <c r="AR62" s="139">
        <v>12600</v>
      </c>
      <c r="AS62" s="139">
        <v>12600</v>
      </c>
      <c r="AT62" s="139">
        <v>12600</v>
      </c>
      <c r="AU62" s="139">
        <v>12600</v>
      </c>
      <c r="AV62" s="140"/>
    </row>
    <row r="63" spans="2:48" ht="15.75" customHeight="1" x14ac:dyDescent="0.2">
      <c r="B63" s="136" t="s">
        <v>44</v>
      </c>
      <c r="C63" s="137">
        <v>0</v>
      </c>
      <c r="D63" s="138">
        <v>0</v>
      </c>
      <c r="E63" s="139">
        <v>0</v>
      </c>
      <c r="F63" s="139">
        <v>0</v>
      </c>
      <c r="G63" s="139">
        <v>0</v>
      </c>
      <c r="H63" s="139">
        <v>0</v>
      </c>
      <c r="I63" s="139">
        <v>0</v>
      </c>
      <c r="J63" s="139">
        <v>0</v>
      </c>
      <c r="K63" s="139">
        <v>0</v>
      </c>
      <c r="L63" s="139">
        <v>0</v>
      </c>
      <c r="M63" s="139">
        <v>0</v>
      </c>
      <c r="N63" s="139">
        <v>0</v>
      </c>
      <c r="O63" s="139">
        <v>0</v>
      </c>
      <c r="P63" s="139">
        <v>0</v>
      </c>
      <c r="Q63" s="139">
        <v>0</v>
      </c>
      <c r="R63" s="139">
        <v>0</v>
      </c>
      <c r="S63" s="139">
        <v>0</v>
      </c>
      <c r="T63" s="139">
        <v>57120</v>
      </c>
      <c r="U63" s="139">
        <v>57120</v>
      </c>
      <c r="V63" s="139">
        <v>57120</v>
      </c>
      <c r="W63" s="139">
        <v>57120</v>
      </c>
      <c r="X63" s="139">
        <v>57120</v>
      </c>
      <c r="Y63" s="139">
        <v>57120</v>
      </c>
      <c r="Z63" s="139">
        <v>57120</v>
      </c>
      <c r="AA63" s="139">
        <v>57120</v>
      </c>
      <c r="AB63" s="139">
        <v>57120</v>
      </c>
      <c r="AC63" s="139">
        <v>57120</v>
      </c>
      <c r="AD63" s="139">
        <v>57120</v>
      </c>
      <c r="AE63" s="139">
        <v>57120</v>
      </c>
      <c r="AF63" s="139">
        <v>0</v>
      </c>
      <c r="AG63" s="139">
        <v>0</v>
      </c>
      <c r="AH63" s="139">
        <v>0</v>
      </c>
      <c r="AI63" s="139">
        <v>0</v>
      </c>
      <c r="AJ63" s="139">
        <v>0</v>
      </c>
      <c r="AK63" s="139">
        <v>0</v>
      </c>
      <c r="AL63" s="139">
        <v>0</v>
      </c>
      <c r="AM63" s="139">
        <v>0</v>
      </c>
      <c r="AN63" s="139">
        <v>0</v>
      </c>
      <c r="AO63" s="139">
        <v>0</v>
      </c>
      <c r="AP63" s="139">
        <v>0</v>
      </c>
      <c r="AQ63" s="139">
        <v>0</v>
      </c>
      <c r="AR63" s="139">
        <v>0</v>
      </c>
      <c r="AS63" s="139">
        <v>0</v>
      </c>
      <c r="AT63" s="139">
        <v>0</v>
      </c>
      <c r="AU63" s="139">
        <v>0</v>
      </c>
      <c r="AV63" s="140"/>
    </row>
    <row r="64" spans="2:48" ht="15.75" customHeight="1" x14ac:dyDescent="0.2">
      <c r="B64" s="136" t="s">
        <v>45</v>
      </c>
      <c r="C64" s="137">
        <v>0</v>
      </c>
      <c r="D64" s="138">
        <v>0</v>
      </c>
      <c r="E64" s="139">
        <v>0</v>
      </c>
      <c r="F64" s="139">
        <v>0</v>
      </c>
      <c r="G64" s="139">
        <v>0</v>
      </c>
      <c r="H64" s="139">
        <v>0</v>
      </c>
      <c r="I64" s="139">
        <v>0</v>
      </c>
      <c r="J64" s="139">
        <v>0</v>
      </c>
      <c r="K64" s="139">
        <v>0</v>
      </c>
      <c r="L64" s="139">
        <v>0</v>
      </c>
      <c r="M64" s="139">
        <v>0</v>
      </c>
      <c r="N64" s="139">
        <v>0</v>
      </c>
      <c r="O64" s="139">
        <v>0</v>
      </c>
      <c r="P64" s="139">
        <v>0</v>
      </c>
      <c r="Q64" s="139">
        <v>0</v>
      </c>
      <c r="R64" s="139">
        <v>0</v>
      </c>
      <c r="S64" s="139">
        <v>0</v>
      </c>
      <c r="T64" s="139">
        <v>14400</v>
      </c>
      <c r="U64" s="139">
        <v>14400</v>
      </c>
      <c r="V64" s="139">
        <v>14400</v>
      </c>
      <c r="W64" s="139">
        <v>14400</v>
      </c>
      <c r="X64" s="139">
        <v>14400</v>
      </c>
      <c r="Y64" s="139">
        <v>14400</v>
      </c>
      <c r="Z64" s="139">
        <v>14400</v>
      </c>
      <c r="AA64" s="139">
        <v>14400</v>
      </c>
      <c r="AB64" s="139">
        <v>14400</v>
      </c>
      <c r="AC64" s="139">
        <v>14400</v>
      </c>
      <c r="AD64" s="139">
        <v>14400</v>
      </c>
      <c r="AE64" s="139">
        <v>14400</v>
      </c>
      <c r="AF64" s="139">
        <v>14400</v>
      </c>
      <c r="AG64" s="139">
        <v>14400</v>
      </c>
      <c r="AH64" s="139">
        <v>14400</v>
      </c>
      <c r="AI64" s="139">
        <v>14400</v>
      </c>
      <c r="AJ64" s="139">
        <v>14400</v>
      </c>
      <c r="AK64" s="139">
        <v>14400</v>
      </c>
      <c r="AL64" s="139">
        <v>14400</v>
      </c>
      <c r="AM64" s="139">
        <v>14400</v>
      </c>
      <c r="AN64" s="139">
        <v>14400</v>
      </c>
      <c r="AO64" s="139">
        <v>14400</v>
      </c>
      <c r="AP64" s="139">
        <v>14400</v>
      </c>
      <c r="AQ64" s="139">
        <v>14400</v>
      </c>
      <c r="AR64" s="139">
        <v>14400</v>
      </c>
      <c r="AS64" s="139">
        <v>14400</v>
      </c>
      <c r="AT64" s="139">
        <v>0</v>
      </c>
      <c r="AU64" s="139">
        <v>0</v>
      </c>
      <c r="AV64" s="140"/>
    </row>
    <row r="65" spans="2:48" ht="15.75" customHeight="1" x14ac:dyDescent="0.2">
      <c r="B65" s="136" t="s">
        <v>46</v>
      </c>
      <c r="C65" s="137">
        <v>0</v>
      </c>
      <c r="D65" s="138">
        <v>0</v>
      </c>
      <c r="E65" s="139">
        <v>0</v>
      </c>
      <c r="F65" s="139">
        <v>0</v>
      </c>
      <c r="G65" s="139">
        <v>0</v>
      </c>
      <c r="H65" s="139">
        <v>0</v>
      </c>
      <c r="I65" s="139">
        <v>0</v>
      </c>
      <c r="J65" s="139">
        <v>0</v>
      </c>
      <c r="K65" s="139">
        <v>0</v>
      </c>
      <c r="L65" s="139">
        <v>0</v>
      </c>
      <c r="M65" s="139">
        <v>0</v>
      </c>
      <c r="N65" s="139">
        <v>0</v>
      </c>
      <c r="O65" s="139">
        <v>0</v>
      </c>
      <c r="P65" s="139">
        <v>0</v>
      </c>
      <c r="Q65" s="139">
        <v>0</v>
      </c>
      <c r="R65" s="139">
        <v>0</v>
      </c>
      <c r="S65" s="139">
        <v>0</v>
      </c>
      <c r="T65" s="139">
        <v>0</v>
      </c>
      <c r="U65" s="139">
        <v>8700</v>
      </c>
      <c r="V65" s="139">
        <v>8700</v>
      </c>
      <c r="W65" s="139">
        <v>8700</v>
      </c>
      <c r="X65" s="139">
        <v>8700</v>
      </c>
      <c r="Y65" s="139">
        <v>8700</v>
      </c>
      <c r="Z65" s="139">
        <v>8700</v>
      </c>
      <c r="AA65" s="139">
        <v>8700</v>
      </c>
      <c r="AB65" s="139">
        <v>8700</v>
      </c>
      <c r="AC65" s="139">
        <v>8700</v>
      </c>
      <c r="AD65" s="139">
        <v>8700</v>
      </c>
      <c r="AE65" s="139">
        <v>8700</v>
      </c>
      <c r="AF65" s="139">
        <v>8700</v>
      </c>
      <c r="AG65" s="139">
        <v>12540</v>
      </c>
      <c r="AH65" s="139">
        <v>12540</v>
      </c>
      <c r="AI65" s="139">
        <v>12540</v>
      </c>
      <c r="AJ65" s="139">
        <v>12540</v>
      </c>
      <c r="AK65" s="139">
        <v>12540</v>
      </c>
      <c r="AL65" s="139">
        <v>12540</v>
      </c>
      <c r="AM65" s="139">
        <v>12540</v>
      </c>
      <c r="AN65" s="139">
        <v>12540</v>
      </c>
      <c r="AO65" s="139">
        <v>12540</v>
      </c>
      <c r="AP65" s="139">
        <v>12540</v>
      </c>
      <c r="AQ65" s="139">
        <v>12540</v>
      </c>
      <c r="AR65" s="139">
        <v>12540</v>
      </c>
      <c r="AS65" s="139">
        <v>21240</v>
      </c>
      <c r="AT65" s="139">
        <v>21240</v>
      </c>
      <c r="AU65" s="139">
        <v>21240</v>
      </c>
      <c r="AV65" s="140"/>
    </row>
    <row r="66" spans="2:48" ht="15.75" customHeight="1" x14ac:dyDescent="0.2">
      <c r="B66" s="136" t="s">
        <v>47</v>
      </c>
      <c r="C66" s="137">
        <v>0</v>
      </c>
      <c r="D66" s="138">
        <v>0</v>
      </c>
      <c r="E66" s="139">
        <v>0</v>
      </c>
      <c r="F66" s="139">
        <v>0</v>
      </c>
      <c r="G66" s="139">
        <v>0</v>
      </c>
      <c r="H66" s="139">
        <v>0</v>
      </c>
      <c r="I66" s="139">
        <v>0</v>
      </c>
      <c r="J66" s="139">
        <v>0</v>
      </c>
      <c r="K66" s="139">
        <v>0</v>
      </c>
      <c r="L66" s="139">
        <v>0</v>
      </c>
      <c r="M66" s="139">
        <v>0</v>
      </c>
      <c r="N66" s="139">
        <v>0</v>
      </c>
      <c r="O66" s="139">
        <v>0</v>
      </c>
      <c r="P66" s="139">
        <v>0</v>
      </c>
      <c r="Q66" s="139">
        <v>0</v>
      </c>
      <c r="R66" s="139">
        <v>0</v>
      </c>
      <c r="S66" s="139">
        <v>0</v>
      </c>
      <c r="T66" s="139">
        <v>0</v>
      </c>
      <c r="U66" s="139">
        <v>15570</v>
      </c>
      <c r="V66" s="139">
        <v>15570</v>
      </c>
      <c r="W66" s="139">
        <v>15570</v>
      </c>
      <c r="X66" s="139">
        <v>15570</v>
      </c>
      <c r="Y66" s="139">
        <v>15570</v>
      </c>
      <c r="Z66" s="139">
        <v>15570</v>
      </c>
      <c r="AA66" s="139">
        <v>15570</v>
      </c>
      <c r="AB66" s="139">
        <v>15570</v>
      </c>
      <c r="AC66" s="139">
        <v>15570</v>
      </c>
      <c r="AD66" s="139">
        <v>15570</v>
      </c>
      <c r="AE66" s="139">
        <v>15570</v>
      </c>
      <c r="AF66" s="139">
        <v>15570</v>
      </c>
      <c r="AG66" s="139">
        <v>0</v>
      </c>
      <c r="AH66" s="139">
        <v>0</v>
      </c>
      <c r="AI66" s="139">
        <v>0</v>
      </c>
      <c r="AJ66" s="139">
        <v>0</v>
      </c>
      <c r="AK66" s="139">
        <v>0</v>
      </c>
      <c r="AL66" s="139">
        <v>0</v>
      </c>
      <c r="AM66" s="139">
        <v>0</v>
      </c>
      <c r="AN66" s="139">
        <v>0</v>
      </c>
      <c r="AO66" s="139">
        <v>0</v>
      </c>
      <c r="AP66" s="139">
        <v>0</v>
      </c>
      <c r="AQ66" s="139">
        <v>0</v>
      </c>
      <c r="AR66" s="139">
        <v>0</v>
      </c>
      <c r="AS66" s="139">
        <v>0</v>
      </c>
      <c r="AT66" s="139">
        <v>0</v>
      </c>
      <c r="AU66" s="139">
        <v>0</v>
      </c>
      <c r="AV66" s="140"/>
    </row>
    <row r="67" spans="2:48" ht="15.75" customHeight="1" x14ac:dyDescent="0.2">
      <c r="B67" s="136" t="s">
        <v>48</v>
      </c>
      <c r="C67" s="137">
        <v>0</v>
      </c>
      <c r="D67" s="138">
        <v>0</v>
      </c>
      <c r="E67" s="139">
        <v>0</v>
      </c>
      <c r="F67" s="139">
        <v>0</v>
      </c>
      <c r="G67" s="139">
        <v>0</v>
      </c>
      <c r="H67" s="139">
        <v>0</v>
      </c>
      <c r="I67" s="139">
        <v>0</v>
      </c>
      <c r="J67" s="139">
        <v>0</v>
      </c>
      <c r="K67" s="139">
        <v>0</v>
      </c>
      <c r="L67" s="139">
        <v>0</v>
      </c>
      <c r="M67" s="139">
        <v>0</v>
      </c>
      <c r="N67" s="139">
        <v>0</v>
      </c>
      <c r="O67" s="139">
        <v>0</v>
      </c>
      <c r="P67" s="139">
        <v>0</v>
      </c>
      <c r="Q67" s="139">
        <v>0</v>
      </c>
      <c r="R67" s="139">
        <v>0</v>
      </c>
      <c r="S67" s="139">
        <v>0</v>
      </c>
      <c r="T67" s="139">
        <v>0</v>
      </c>
      <c r="U67" s="139">
        <v>6000</v>
      </c>
      <c r="V67" s="139">
        <v>6000</v>
      </c>
      <c r="W67" s="139">
        <v>6000</v>
      </c>
      <c r="X67" s="139">
        <v>6000</v>
      </c>
      <c r="Y67" s="139">
        <v>6000</v>
      </c>
      <c r="Z67" s="139">
        <v>6000</v>
      </c>
      <c r="AA67" s="139">
        <v>6000</v>
      </c>
      <c r="AB67" s="139">
        <v>6000</v>
      </c>
      <c r="AC67" s="139">
        <v>6000</v>
      </c>
      <c r="AD67" s="139">
        <v>6000</v>
      </c>
      <c r="AE67" s="139">
        <v>6000</v>
      </c>
      <c r="AF67" s="139">
        <v>6000</v>
      </c>
      <c r="AG67" s="139">
        <v>6000</v>
      </c>
      <c r="AH67" s="139">
        <v>6000</v>
      </c>
      <c r="AI67" s="139">
        <v>6000</v>
      </c>
      <c r="AJ67" s="139">
        <v>6000</v>
      </c>
      <c r="AK67" s="139">
        <v>6000</v>
      </c>
      <c r="AL67" s="139">
        <v>6000</v>
      </c>
      <c r="AM67" s="139">
        <v>6000</v>
      </c>
      <c r="AN67" s="139">
        <v>6000</v>
      </c>
      <c r="AO67" s="139">
        <v>6000</v>
      </c>
      <c r="AP67" s="139">
        <v>6000</v>
      </c>
      <c r="AQ67" s="139">
        <v>6000</v>
      </c>
      <c r="AR67" s="139">
        <v>6000</v>
      </c>
      <c r="AS67" s="139">
        <v>10860</v>
      </c>
      <c r="AT67" s="139">
        <v>10860</v>
      </c>
      <c r="AU67" s="139">
        <v>10860</v>
      </c>
      <c r="AV67" s="140"/>
    </row>
    <row r="68" spans="2:48" ht="15.75" customHeight="1" x14ac:dyDescent="0.2">
      <c r="B68" s="136" t="s">
        <v>49</v>
      </c>
      <c r="C68" s="137">
        <v>0</v>
      </c>
      <c r="D68" s="138">
        <v>0</v>
      </c>
      <c r="E68" s="139">
        <v>0</v>
      </c>
      <c r="F68" s="139">
        <v>0</v>
      </c>
      <c r="G68" s="139">
        <v>0</v>
      </c>
      <c r="H68" s="139">
        <v>0</v>
      </c>
      <c r="I68" s="139">
        <v>0</v>
      </c>
      <c r="J68" s="139">
        <v>0</v>
      </c>
      <c r="K68" s="139">
        <v>0</v>
      </c>
      <c r="L68" s="139">
        <v>0</v>
      </c>
      <c r="M68" s="139">
        <v>0</v>
      </c>
      <c r="N68" s="139">
        <v>0</v>
      </c>
      <c r="O68" s="139">
        <v>0</v>
      </c>
      <c r="P68" s="139">
        <v>0</v>
      </c>
      <c r="Q68" s="139">
        <v>0</v>
      </c>
      <c r="R68" s="139">
        <v>0</v>
      </c>
      <c r="S68" s="139">
        <v>0</v>
      </c>
      <c r="T68" s="139">
        <v>0</v>
      </c>
      <c r="U68" s="139">
        <v>6000</v>
      </c>
      <c r="V68" s="139">
        <v>6000</v>
      </c>
      <c r="W68" s="139">
        <v>6000</v>
      </c>
      <c r="X68" s="139">
        <v>6000</v>
      </c>
      <c r="Y68" s="139">
        <v>6000</v>
      </c>
      <c r="Z68" s="139">
        <v>6000</v>
      </c>
      <c r="AA68" s="139">
        <v>6000</v>
      </c>
      <c r="AB68" s="139">
        <v>6000</v>
      </c>
      <c r="AC68" s="139">
        <v>6000</v>
      </c>
      <c r="AD68" s="139">
        <v>6000</v>
      </c>
      <c r="AE68" s="139">
        <v>6000</v>
      </c>
      <c r="AF68" s="139">
        <v>6000</v>
      </c>
      <c r="AG68" s="139">
        <v>15600</v>
      </c>
      <c r="AH68" s="139">
        <v>15600</v>
      </c>
      <c r="AI68" s="139">
        <v>15600</v>
      </c>
      <c r="AJ68" s="139">
        <v>15600</v>
      </c>
      <c r="AK68" s="139">
        <v>15600</v>
      </c>
      <c r="AL68" s="139">
        <v>15600</v>
      </c>
      <c r="AM68" s="139">
        <v>15600</v>
      </c>
      <c r="AN68" s="139">
        <v>15600</v>
      </c>
      <c r="AO68" s="139">
        <v>15600</v>
      </c>
      <c r="AP68" s="139">
        <v>15600</v>
      </c>
      <c r="AQ68" s="139">
        <v>15600</v>
      </c>
      <c r="AR68" s="139">
        <v>15600</v>
      </c>
      <c r="AS68" s="139">
        <v>24660</v>
      </c>
      <c r="AT68" s="139">
        <v>24660</v>
      </c>
      <c r="AU68" s="139">
        <v>24660</v>
      </c>
      <c r="AV68" s="140"/>
    </row>
    <row r="69" spans="2:48" ht="15.75" customHeight="1" x14ac:dyDescent="0.2">
      <c r="B69" s="136" t="s">
        <v>50</v>
      </c>
      <c r="C69" s="137">
        <v>0</v>
      </c>
      <c r="D69" s="138">
        <v>0</v>
      </c>
      <c r="E69" s="139">
        <v>0</v>
      </c>
      <c r="F69" s="139">
        <v>0</v>
      </c>
      <c r="G69" s="139">
        <v>0</v>
      </c>
      <c r="H69" s="139">
        <v>0</v>
      </c>
      <c r="I69" s="139">
        <v>0</v>
      </c>
      <c r="J69" s="139">
        <v>0</v>
      </c>
      <c r="K69" s="139">
        <v>0</v>
      </c>
      <c r="L69" s="139">
        <v>0</v>
      </c>
      <c r="M69" s="139">
        <v>0</v>
      </c>
      <c r="N69" s="139">
        <v>0</v>
      </c>
      <c r="O69" s="139">
        <v>0</v>
      </c>
      <c r="P69" s="139">
        <v>0</v>
      </c>
      <c r="Q69" s="139">
        <v>0</v>
      </c>
      <c r="R69" s="139">
        <v>0</v>
      </c>
      <c r="S69" s="139">
        <v>0</v>
      </c>
      <c r="T69" s="139">
        <v>0</v>
      </c>
      <c r="U69" s="139">
        <v>6000</v>
      </c>
      <c r="V69" s="139">
        <v>6000</v>
      </c>
      <c r="W69" s="139">
        <v>6000</v>
      </c>
      <c r="X69" s="139">
        <v>6000</v>
      </c>
      <c r="Y69" s="139">
        <v>6000</v>
      </c>
      <c r="Z69" s="139">
        <v>6000</v>
      </c>
      <c r="AA69" s="139">
        <v>6000</v>
      </c>
      <c r="AB69" s="139">
        <v>6000</v>
      </c>
      <c r="AC69" s="139">
        <v>6000</v>
      </c>
      <c r="AD69" s="139">
        <v>6000</v>
      </c>
      <c r="AE69" s="139">
        <v>6000</v>
      </c>
      <c r="AF69" s="139">
        <v>6000</v>
      </c>
      <c r="AG69" s="139">
        <v>0</v>
      </c>
      <c r="AH69" s="139">
        <v>0</v>
      </c>
      <c r="AI69" s="139">
        <v>0</v>
      </c>
      <c r="AJ69" s="139">
        <v>0</v>
      </c>
      <c r="AK69" s="139">
        <v>0</v>
      </c>
      <c r="AL69" s="139">
        <v>0</v>
      </c>
      <c r="AM69" s="139">
        <v>0</v>
      </c>
      <c r="AN69" s="139">
        <v>0</v>
      </c>
      <c r="AO69" s="139">
        <v>0</v>
      </c>
      <c r="AP69" s="139">
        <v>0</v>
      </c>
      <c r="AQ69" s="139">
        <v>0</v>
      </c>
      <c r="AR69" s="139">
        <v>0</v>
      </c>
      <c r="AS69" s="139">
        <v>0</v>
      </c>
      <c r="AT69" s="139">
        <v>0</v>
      </c>
      <c r="AU69" s="139">
        <v>0</v>
      </c>
      <c r="AV69" s="140"/>
    </row>
    <row r="70" spans="2:48" ht="15.75" customHeight="1" x14ac:dyDescent="0.2">
      <c r="B70" s="136" t="s">
        <v>51</v>
      </c>
      <c r="C70" s="137">
        <v>0</v>
      </c>
      <c r="D70" s="138">
        <v>0</v>
      </c>
      <c r="E70" s="139">
        <v>0</v>
      </c>
      <c r="F70" s="139">
        <v>0</v>
      </c>
      <c r="G70" s="139">
        <v>0</v>
      </c>
      <c r="H70" s="139">
        <v>0</v>
      </c>
      <c r="I70" s="139">
        <v>0</v>
      </c>
      <c r="J70" s="139">
        <v>0</v>
      </c>
      <c r="K70" s="139">
        <v>0</v>
      </c>
      <c r="L70" s="139">
        <v>0</v>
      </c>
      <c r="M70" s="139">
        <v>0</v>
      </c>
      <c r="N70" s="139">
        <v>0</v>
      </c>
      <c r="O70" s="139">
        <v>0</v>
      </c>
      <c r="P70" s="139">
        <v>0</v>
      </c>
      <c r="Q70" s="139">
        <v>0</v>
      </c>
      <c r="R70" s="139">
        <v>0</v>
      </c>
      <c r="S70" s="139">
        <v>0</v>
      </c>
      <c r="T70" s="139">
        <v>0</v>
      </c>
      <c r="U70" s="139">
        <v>0</v>
      </c>
      <c r="V70" s="139">
        <v>6000</v>
      </c>
      <c r="W70" s="139">
        <v>6000</v>
      </c>
      <c r="X70" s="139">
        <v>6000</v>
      </c>
      <c r="Y70" s="139">
        <v>6000</v>
      </c>
      <c r="Z70" s="139">
        <v>6000</v>
      </c>
      <c r="AA70" s="139">
        <v>6000</v>
      </c>
      <c r="AB70" s="139">
        <v>6000</v>
      </c>
      <c r="AC70" s="139">
        <v>6000</v>
      </c>
      <c r="AD70" s="139">
        <v>6000</v>
      </c>
      <c r="AE70" s="139">
        <v>6000</v>
      </c>
      <c r="AF70" s="139">
        <v>6000</v>
      </c>
      <c r="AG70" s="139">
        <v>6000</v>
      </c>
      <c r="AH70" s="139">
        <v>11880</v>
      </c>
      <c r="AI70" s="139">
        <v>11880</v>
      </c>
      <c r="AJ70" s="139">
        <v>11880</v>
      </c>
      <c r="AK70" s="139">
        <v>11880</v>
      </c>
      <c r="AL70" s="139">
        <v>11880</v>
      </c>
      <c r="AM70" s="139">
        <v>11880</v>
      </c>
      <c r="AN70" s="139">
        <v>11880</v>
      </c>
      <c r="AO70" s="139">
        <v>11880</v>
      </c>
      <c r="AP70" s="139">
        <v>11880</v>
      </c>
      <c r="AQ70" s="139">
        <v>11880</v>
      </c>
      <c r="AR70" s="139">
        <v>11880</v>
      </c>
      <c r="AS70" s="139">
        <v>11880</v>
      </c>
      <c r="AT70" s="139">
        <v>12660</v>
      </c>
      <c r="AU70" s="139">
        <v>12660</v>
      </c>
      <c r="AV70" s="140"/>
    </row>
    <row r="71" spans="2:48" ht="15.75" customHeight="1" x14ac:dyDescent="0.2">
      <c r="B71" s="136" t="s">
        <v>52</v>
      </c>
      <c r="C71" s="137">
        <v>0</v>
      </c>
      <c r="D71" s="138">
        <v>0</v>
      </c>
      <c r="E71" s="139">
        <v>0</v>
      </c>
      <c r="F71" s="139">
        <v>0</v>
      </c>
      <c r="G71" s="139">
        <v>0</v>
      </c>
      <c r="H71" s="139">
        <v>0</v>
      </c>
      <c r="I71" s="139">
        <v>0</v>
      </c>
      <c r="J71" s="139">
        <v>0</v>
      </c>
      <c r="K71" s="139">
        <v>0</v>
      </c>
      <c r="L71" s="139">
        <v>0</v>
      </c>
      <c r="M71" s="139">
        <v>0</v>
      </c>
      <c r="N71" s="139">
        <v>0</v>
      </c>
      <c r="O71" s="139">
        <v>0</v>
      </c>
      <c r="P71" s="139">
        <v>0</v>
      </c>
      <c r="Q71" s="139">
        <v>0</v>
      </c>
      <c r="R71" s="139">
        <v>0</v>
      </c>
      <c r="S71" s="139">
        <v>0</v>
      </c>
      <c r="T71" s="139">
        <v>0</v>
      </c>
      <c r="U71" s="139">
        <v>0</v>
      </c>
      <c r="V71" s="139">
        <v>9180</v>
      </c>
      <c r="W71" s="139">
        <v>9180</v>
      </c>
      <c r="X71" s="139">
        <v>9180</v>
      </c>
      <c r="Y71" s="139">
        <v>9180</v>
      </c>
      <c r="Z71" s="139">
        <v>9180</v>
      </c>
      <c r="AA71" s="139">
        <v>9180</v>
      </c>
      <c r="AB71" s="139">
        <v>9180</v>
      </c>
      <c r="AC71" s="139">
        <v>9180</v>
      </c>
      <c r="AD71" s="139">
        <v>9180</v>
      </c>
      <c r="AE71" s="139">
        <v>9180</v>
      </c>
      <c r="AF71" s="139">
        <v>9180</v>
      </c>
      <c r="AG71" s="139">
        <v>9180</v>
      </c>
      <c r="AH71" s="139">
        <v>23004</v>
      </c>
      <c r="AI71" s="139">
        <v>23004</v>
      </c>
      <c r="AJ71" s="139">
        <v>23004</v>
      </c>
      <c r="AK71" s="139">
        <v>23004</v>
      </c>
      <c r="AL71" s="139">
        <v>23004</v>
      </c>
      <c r="AM71" s="139">
        <v>23004</v>
      </c>
      <c r="AN71" s="139">
        <v>23004</v>
      </c>
      <c r="AO71" s="139">
        <v>23004</v>
      </c>
      <c r="AP71" s="139">
        <v>23004</v>
      </c>
      <c r="AQ71" s="139">
        <v>23004</v>
      </c>
      <c r="AR71" s="139">
        <v>23004</v>
      </c>
      <c r="AS71" s="139">
        <v>23004</v>
      </c>
      <c r="AT71" s="139">
        <v>43848</v>
      </c>
      <c r="AU71" s="139">
        <v>43848</v>
      </c>
      <c r="AV71" s="140"/>
    </row>
    <row r="72" spans="2:48" ht="15.75" customHeight="1" x14ac:dyDescent="0.2">
      <c r="B72" s="136" t="s">
        <v>53</v>
      </c>
      <c r="C72" s="137">
        <v>0</v>
      </c>
      <c r="D72" s="138">
        <v>0</v>
      </c>
      <c r="E72" s="139">
        <v>0</v>
      </c>
      <c r="F72" s="139">
        <v>0</v>
      </c>
      <c r="G72" s="139">
        <v>0</v>
      </c>
      <c r="H72" s="139">
        <v>0</v>
      </c>
      <c r="I72" s="139">
        <v>0</v>
      </c>
      <c r="J72" s="139">
        <v>0</v>
      </c>
      <c r="K72" s="139">
        <v>0</v>
      </c>
      <c r="L72" s="139">
        <v>0</v>
      </c>
      <c r="M72" s="139">
        <v>0</v>
      </c>
      <c r="N72" s="139">
        <v>0</v>
      </c>
      <c r="O72" s="139">
        <v>0</v>
      </c>
      <c r="P72" s="139">
        <v>0</v>
      </c>
      <c r="Q72" s="139">
        <v>0</v>
      </c>
      <c r="R72" s="139">
        <v>0</v>
      </c>
      <c r="S72" s="139">
        <v>0</v>
      </c>
      <c r="T72" s="139">
        <v>0</v>
      </c>
      <c r="U72" s="139">
        <v>0</v>
      </c>
      <c r="V72" s="139">
        <v>15552</v>
      </c>
      <c r="W72" s="139">
        <v>15552</v>
      </c>
      <c r="X72" s="139">
        <v>15552</v>
      </c>
      <c r="Y72" s="139">
        <v>15552</v>
      </c>
      <c r="Z72" s="139">
        <v>15552</v>
      </c>
      <c r="AA72" s="139">
        <v>15552</v>
      </c>
      <c r="AB72" s="139">
        <v>15552</v>
      </c>
      <c r="AC72" s="139">
        <v>15552</v>
      </c>
      <c r="AD72" s="139">
        <v>15552</v>
      </c>
      <c r="AE72" s="139">
        <v>15552</v>
      </c>
      <c r="AF72" s="139">
        <v>15552</v>
      </c>
      <c r="AG72" s="139">
        <v>15552</v>
      </c>
      <c r="AH72" s="139">
        <v>24120</v>
      </c>
      <c r="AI72" s="139">
        <v>24120</v>
      </c>
      <c r="AJ72" s="139">
        <v>24120</v>
      </c>
      <c r="AK72" s="139">
        <v>24120</v>
      </c>
      <c r="AL72" s="139">
        <v>24120</v>
      </c>
      <c r="AM72" s="139">
        <v>24120</v>
      </c>
      <c r="AN72" s="139">
        <v>24120</v>
      </c>
      <c r="AO72" s="139">
        <v>24120</v>
      </c>
      <c r="AP72" s="139">
        <v>24120</v>
      </c>
      <c r="AQ72" s="139">
        <v>24120</v>
      </c>
      <c r="AR72" s="139">
        <v>24120</v>
      </c>
      <c r="AS72" s="139">
        <v>24120</v>
      </c>
      <c r="AT72" s="139">
        <v>44496</v>
      </c>
      <c r="AU72" s="139">
        <v>44496</v>
      </c>
      <c r="AV72" s="140"/>
    </row>
    <row r="73" spans="2:48" ht="15.75" customHeight="1" x14ac:dyDescent="0.2">
      <c r="B73" s="136" t="s">
        <v>54</v>
      </c>
      <c r="C73" s="137">
        <v>0</v>
      </c>
      <c r="D73" s="138">
        <v>0</v>
      </c>
      <c r="E73" s="139">
        <v>0</v>
      </c>
      <c r="F73" s="139">
        <v>0</v>
      </c>
      <c r="G73" s="139">
        <v>0</v>
      </c>
      <c r="H73" s="139">
        <v>0</v>
      </c>
      <c r="I73" s="139">
        <v>0</v>
      </c>
      <c r="J73" s="139">
        <v>0</v>
      </c>
      <c r="K73" s="139">
        <v>0</v>
      </c>
      <c r="L73" s="139">
        <v>0</v>
      </c>
      <c r="M73" s="139">
        <v>0</v>
      </c>
      <c r="N73" s="139">
        <v>0</v>
      </c>
      <c r="O73" s="139">
        <v>0</v>
      </c>
      <c r="P73" s="139">
        <v>0</v>
      </c>
      <c r="Q73" s="139">
        <v>0</v>
      </c>
      <c r="R73" s="139">
        <v>0</v>
      </c>
      <c r="S73" s="139">
        <v>0</v>
      </c>
      <c r="T73" s="139">
        <v>0</v>
      </c>
      <c r="U73" s="139">
        <v>0</v>
      </c>
      <c r="V73" s="139">
        <v>0</v>
      </c>
      <c r="W73" s="139">
        <v>23688</v>
      </c>
      <c r="X73" s="139">
        <v>23688</v>
      </c>
      <c r="Y73" s="139">
        <v>23688</v>
      </c>
      <c r="Z73" s="139">
        <v>23688</v>
      </c>
      <c r="AA73" s="139">
        <v>23688</v>
      </c>
      <c r="AB73" s="139">
        <v>23688</v>
      </c>
      <c r="AC73" s="139">
        <v>23688</v>
      </c>
      <c r="AD73" s="139">
        <v>23688</v>
      </c>
      <c r="AE73" s="139">
        <v>23688</v>
      </c>
      <c r="AF73" s="139">
        <v>23688</v>
      </c>
      <c r="AG73" s="139">
        <v>23688</v>
      </c>
      <c r="AH73" s="139">
        <v>23688</v>
      </c>
      <c r="AI73" s="139">
        <v>0</v>
      </c>
      <c r="AJ73" s="139">
        <v>0</v>
      </c>
      <c r="AK73" s="139">
        <v>0</v>
      </c>
      <c r="AL73" s="139">
        <v>0</v>
      </c>
      <c r="AM73" s="139">
        <v>0</v>
      </c>
      <c r="AN73" s="139">
        <v>0</v>
      </c>
      <c r="AO73" s="139">
        <v>0</v>
      </c>
      <c r="AP73" s="139">
        <v>0</v>
      </c>
      <c r="AQ73" s="139">
        <v>0</v>
      </c>
      <c r="AR73" s="139">
        <v>0</v>
      </c>
      <c r="AS73" s="139">
        <v>0</v>
      </c>
      <c r="AT73" s="139">
        <v>0</v>
      </c>
      <c r="AU73" s="139">
        <v>0</v>
      </c>
      <c r="AV73" s="140"/>
    </row>
    <row r="74" spans="2:48" ht="15.75" customHeight="1" x14ac:dyDescent="0.2">
      <c r="B74" s="136" t="s">
        <v>55</v>
      </c>
      <c r="C74" s="137">
        <v>0</v>
      </c>
      <c r="D74" s="138">
        <v>0</v>
      </c>
      <c r="E74" s="139">
        <v>0</v>
      </c>
      <c r="F74" s="139">
        <v>0</v>
      </c>
      <c r="G74" s="139">
        <v>0</v>
      </c>
      <c r="H74" s="139">
        <v>0</v>
      </c>
      <c r="I74" s="139">
        <v>0</v>
      </c>
      <c r="J74" s="139">
        <v>0</v>
      </c>
      <c r="K74" s="139">
        <v>0</v>
      </c>
      <c r="L74" s="139">
        <v>0</v>
      </c>
      <c r="M74" s="139">
        <v>0</v>
      </c>
      <c r="N74" s="139">
        <v>0</v>
      </c>
      <c r="O74" s="139">
        <v>0</v>
      </c>
      <c r="P74" s="139">
        <v>0</v>
      </c>
      <c r="Q74" s="139">
        <v>0</v>
      </c>
      <c r="R74" s="139">
        <v>0</v>
      </c>
      <c r="S74" s="139">
        <v>0</v>
      </c>
      <c r="T74" s="139">
        <v>0</v>
      </c>
      <c r="U74" s="139">
        <v>0</v>
      </c>
      <c r="V74" s="139">
        <v>0</v>
      </c>
      <c r="W74" s="139">
        <v>6000</v>
      </c>
      <c r="X74" s="139">
        <v>6000</v>
      </c>
      <c r="Y74" s="139">
        <v>6000</v>
      </c>
      <c r="Z74" s="139">
        <v>6000</v>
      </c>
      <c r="AA74" s="139">
        <v>6000</v>
      </c>
      <c r="AB74" s="139">
        <v>6000</v>
      </c>
      <c r="AC74" s="139">
        <v>6000</v>
      </c>
      <c r="AD74" s="139">
        <v>6000</v>
      </c>
      <c r="AE74" s="139">
        <v>6000</v>
      </c>
      <c r="AF74" s="139">
        <v>6000</v>
      </c>
      <c r="AG74" s="139">
        <v>6000</v>
      </c>
      <c r="AH74" s="139">
        <v>6000</v>
      </c>
      <c r="AI74" s="139">
        <v>9000</v>
      </c>
      <c r="AJ74" s="139">
        <v>9000</v>
      </c>
      <c r="AK74" s="139">
        <v>9000</v>
      </c>
      <c r="AL74" s="139">
        <v>9000</v>
      </c>
      <c r="AM74" s="139">
        <v>9000</v>
      </c>
      <c r="AN74" s="139">
        <v>9000</v>
      </c>
      <c r="AO74" s="139">
        <v>9000</v>
      </c>
      <c r="AP74" s="139">
        <v>9000</v>
      </c>
      <c r="AQ74" s="139">
        <v>9000</v>
      </c>
      <c r="AR74" s="139">
        <v>9000</v>
      </c>
      <c r="AS74" s="139">
        <v>9000</v>
      </c>
      <c r="AT74" s="139">
        <v>9000</v>
      </c>
      <c r="AU74" s="139">
        <v>0</v>
      </c>
      <c r="AV74" s="140"/>
    </row>
    <row r="75" spans="2:48" ht="15.75" customHeight="1" x14ac:dyDescent="0.2">
      <c r="B75" s="136" t="s">
        <v>56</v>
      </c>
      <c r="C75" s="137">
        <v>1</v>
      </c>
      <c r="D75" s="138">
        <v>0</v>
      </c>
      <c r="E75" s="139">
        <v>0</v>
      </c>
      <c r="F75" s="139">
        <v>0</v>
      </c>
      <c r="G75" s="139">
        <v>0</v>
      </c>
      <c r="H75" s="139">
        <v>0</v>
      </c>
      <c r="I75" s="139">
        <v>0</v>
      </c>
      <c r="J75" s="139">
        <v>0</v>
      </c>
      <c r="K75" s="139">
        <v>0</v>
      </c>
      <c r="L75" s="139">
        <v>0</v>
      </c>
      <c r="M75" s="139">
        <v>0</v>
      </c>
      <c r="N75" s="139">
        <v>0</v>
      </c>
      <c r="O75" s="139">
        <v>0</v>
      </c>
      <c r="P75" s="139">
        <v>0</v>
      </c>
      <c r="Q75" s="139">
        <v>0</v>
      </c>
      <c r="R75" s="139">
        <v>0</v>
      </c>
      <c r="S75" s="139">
        <v>0</v>
      </c>
      <c r="T75" s="139">
        <v>0</v>
      </c>
      <c r="U75" s="139">
        <v>0</v>
      </c>
      <c r="V75" s="139">
        <v>0</v>
      </c>
      <c r="W75" s="139">
        <v>412896</v>
      </c>
      <c r="X75" s="139">
        <v>427237</v>
      </c>
      <c r="Y75" s="139">
        <v>414532</v>
      </c>
      <c r="Z75" s="139">
        <v>406306</v>
      </c>
      <c r="AA75" s="139">
        <v>425229</v>
      </c>
      <c r="AB75" s="139">
        <v>445376</v>
      </c>
      <c r="AC75" s="139">
        <v>441619</v>
      </c>
      <c r="AD75" s="139">
        <v>448105</v>
      </c>
      <c r="AE75" s="139">
        <v>438044</v>
      </c>
      <c r="AF75" s="139">
        <v>446076</v>
      </c>
      <c r="AG75" s="139">
        <v>448989</v>
      </c>
      <c r="AH75" s="139">
        <v>432908</v>
      </c>
      <c r="AI75" s="139">
        <v>0</v>
      </c>
      <c r="AJ75" s="139">
        <v>0</v>
      </c>
      <c r="AK75" s="139">
        <v>0</v>
      </c>
      <c r="AL75" s="139">
        <v>0</v>
      </c>
      <c r="AM75" s="139">
        <v>0</v>
      </c>
      <c r="AN75" s="139">
        <v>0</v>
      </c>
      <c r="AO75" s="139">
        <v>0</v>
      </c>
      <c r="AP75" s="139">
        <v>0</v>
      </c>
      <c r="AQ75" s="139">
        <v>0</v>
      </c>
      <c r="AR75" s="139">
        <v>0</v>
      </c>
      <c r="AS75" s="139">
        <v>0</v>
      </c>
      <c r="AT75" s="139">
        <v>0</v>
      </c>
      <c r="AU75" s="139">
        <v>0</v>
      </c>
      <c r="AV75" s="140"/>
    </row>
    <row r="76" spans="2:48" ht="15.75" customHeight="1" x14ac:dyDescent="0.2">
      <c r="B76" s="136" t="s">
        <v>57</v>
      </c>
      <c r="C76" s="137">
        <v>0</v>
      </c>
      <c r="D76" s="138">
        <v>0</v>
      </c>
      <c r="E76" s="139">
        <v>0</v>
      </c>
      <c r="F76" s="139">
        <v>0</v>
      </c>
      <c r="G76" s="139">
        <v>0</v>
      </c>
      <c r="H76" s="139">
        <v>0</v>
      </c>
      <c r="I76" s="139">
        <v>0</v>
      </c>
      <c r="J76" s="139">
        <v>0</v>
      </c>
      <c r="K76" s="139">
        <v>0</v>
      </c>
      <c r="L76" s="139">
        <v>0</v>
      </c>
      <c r="M76" s="139">
        <v>0</v>
      </c>
      <c r="N76" s="139">
        <v>0</v>
      </c>
      <c r="O76" s="139">
        <v>0</v>
      </c>
      <c r="P76" s="139">
        <v>0</v>
      </c>
      <c r="Q76" s="139">
        <v>0</v>
      </c>
      <c r="R76" s="139">
        <v>0</v>
      </c>
      <c r="S76" s="139">
        <v>0</v>
      </c>
      <c r="T76" s="139">
        <v>0</v>
      </c>
      <c r="U76" s="139">
        <v>0</v>
      </c>
      <c r="V76" s="139">
        <v>0</v>
      </c>
      <c r="W76" s="139">
        <v>11520</v>
      </c>
      <c r="X76" s="139">
        <v>11520</v>
      </c>
      <c r="Y76" s="139">
        <v>11520</v>
      </c>
      <c r="Z76" s="139">
        <v>11520</v>
      </c>
      <c r="AA76" s="139">
        <v>11520</v>
      </c>
      <c r="AB76" s="139">
        <v>11520</v>
      </c>
      <c r="AC76" s="139">
        <v>11520</v>
      </c>
      <c r="AD76" s="139">
        <v>11520</v>
      </c>
      <c r="AE76" s="139">
        <v>11520</v>
      </c>
      <c r="AF76" s="139">
        <v>11520</v>
      </c>
      <c r="AG76" s="139">
        <v>11520</v>
      </c>
      <c r="AH76" s="139">
        <v>11520</v>
      </c>
      <c r="AI76" s="139">
        <v>0</v>
      </c>
      <c r="AJ76" s="139">
        <v>0</v>
      </c>
      <c r="AK76" s="139">
        <v>0</v>
      </c>
      <c r="AL76" s="139">
        <v>0</v>
      </c>
      <c r="AM76" s="139">
        <v>0</v>
      </c>
      <c r="AN76" s="139">
        <v>0</v>
      </c>
      <c r="AO76" s="139">
        <v>0</v>
      </c>
      <c r="AP76" s="139">
        <v>0</v>
      </c>
      <c r="AQ76" s="139">
        <v>0</v>
      </c>
      <c r="AR76" s="139">
        <v>0</v>
      </c>
      <c r="AS76" s="139">
        <v>0</v>
      </c>
      <c r="AT76" s="139">
        <v>0</v>
      </c>
      <c r="AU76" s="139">
        <v>0</v>
      </c>
      <c r="AV76" s="140"/>
    </row>
    <row r="77" spans="2:48" ht="15.75" customHeight="1" x14ac:dyDescent="0.2">
      <c r="B77" s="136" t="s">
        <v>58</v>
      </c>
      <c r="C77" s="137">
        <v>0</v>
      </c>
      <c r="D77" s="138">
        <v>0</v>
      </c>
      <c r="E77" s="139">
        <v>0</v>
      </c>
      <c r="F77" s="139">
        <v>0</v>
      </c>
      <c r="G77" s="139">
        <v>0</v>
      </c>
      <c r="H77" s="139">
        <v>0</v>
      </c>
      <c r="I77" s="139">
        <v>0</v>
      </c>
      <c r="J77" s="139">
        <v>0</v>
      </c>
      <c r="K77" s="139">
        <v>0</v>
      </c>
      <c r="L77" s="139">
        <v>0</v>
      </c>
      <c r="M77" s="139">
        <v>0</v>
      </c>
      <c r="N77" s="139">
        <v>0</v>
      </c>
      <c r="O77" s="139">
        <v>0</v>
      </c>
      <c r="P77" s="139">
        <v>0</v>
      </c>
      <c r="Q77" s="139">
        <v>0</v>
      </c>
      <c r="R77" s="139">
        <v>0</v>
      </c>
      <c r="S77" s="139">
        <v>0</v>
      </c>
      <c r="T77" s="139">
        <v>0</v>
      </c>
      <c r="U77" s="139">
        <v>0</v>
      </c>
      <c r="V77" s="139">
        <v>0</v>
      </c>
      <c r="W77" s="139">
        <v>16200</v>
      </c>
      <c r="X77" s="139">
        <v>16200</v>
      </c>
      <c r="Y77" s="139">
        <v>16200</v>
      </c>
      <c r="Z77" s="139">
        <v>16200</v>
      </c>
      <c r="AA77" s="139">
        <v>16200</v>
      </c>
      <c r="AB77" s="139">
        <v>16200</v>
      </c>
      <c r="AC77" s="139">
        <v>16200</v>
      </c>
      <c r="AD77" s="139">
        <v>16200</v>
      </c>
      <c r="AE77" s="139">
        <v>16200</v>
      </c>
      <c r="AF77" s="139">
        <v>16200</v>
      </c>
      <c r="AG77" s="139">
        <v>16200</v>
      </c>
      <c r="AH77" s="139">
        <v>16200</v>
      </c>
      <c r="AI77" s="139">
        <v>0</v>
      </c>
      <c r="AJ77" s="139">
        <v>0</v>
      </c>
      <c r="AK77" s="139">
        <v>0</v>
      </c>
      <c r="AL77" s="139">
        <v>0</v>
      </c>
      <c r="AM77" s="139">
        <v>0</v>
      </c>
      <c r="AN77" s="139">
        <v>0</v>
      </c>
      <c r="AO77" s="139">
        <v>0</v>
      </c>
      <c r="AP77" s="139">
        <v>0</v>
      </c>
      <c r="AQ77" s="139">
        <v>0</v>
      </c>
      <c r="AR77" s="139">
        <v>0</v>
      </c>
      <c r="AS77" s="139">
        <v>0</v>
      </c>
      <c r="AT77" s="139">
        <v>0</v>
      </c>
      <c r="AU77" s="139">
        <v>0</v>
      </c>
      <c r="AV77" s="140"/>
    </row>
    <row r="78" spans="2:48" ht="15.75" customHeight="1" x14ac:dyDescent="0.2">
      <c r="B78" s="136" t="s">
        <v>59</v>
      </c>
      <c r="C78" s="137">
        <v>0</v>
      </c>
      <c r="D78" s="138">
        <v>0</v>
      </c>
      <c r="E78" s="139">
        <v>0</v>
      </c>
      <c r="F78" s="139">
        <v>0</v>
      </c>
      <c r="G78" s="139">
        <v>0</v>
      </c>
      <c r="H78" s="139">
        <v>0</v>
      </c>
      <c r="I78" s="139">
        <v>0</v>
      </c>
      <c r="J78" s="139">
        <v>0</v>
      </c>
      <c r="K78" s="139">
        <v>0</v>
      </c>
      <c r="L78" s="139">
        <v>0</v>
      </c>
      <c r="M78" s="139">
        <v>0</v>
      </c>
      <c r="N78" s="139">
        <v>0</v>
      </c>
      <c r="O78" s="139">
        <v>0</v>
      </c>
      <c r="P78" s="139">
        <v>0</v>
      </c>
      <c r="Q78" s="139">
        <v>0</v>
      </c>
      <c r="R78" s="139">
        <v>0</v>
      </c>
      <c r="S78" s="139">
        <v>0</v>
      </c>
      <c r="T78" s="139">
        <v>0</v>
      </c>
      <c r="U78" s="139">
        <v>0</v>
      </c>
      <c r="V78" s="139">
        <v>0</v>
      </c>
      <c r="W78" s="139">
        <v>0</v>
      </c>
      <c r="X78" s="139">
        <v>6495</v>
      </c>
      <c r="Y78" s="139">
        <v>6495</v>
      </c>
      <c r="Z78" s="139">
        <v>6495</v>
      </c>
      <c r="AA78" s="139">
        <v>6495</v>
      </c>
      <c r="AB78" s="139">
        <v>6495</v>
      </c>
      <c r="AC78" s="139">
        <v>6495</v>
      </c>
      <c r="AD78" s="139">
        <v>6495</v>
      </c>
      <c r="AE78" s="139">
        <v>6495</v>
      </c>
      <c r="AF78" s="139">
        <v>6495</v>
      </c>
      <c r="AG78" s="139">
        <v>6495</v>
      </c>
      <c r="AH78" s="139">
        <v>6495</v>
      </c>
      <c r="AI78" s="139">
        <v>6495</v>
      </c>
      <c r="AJ78" s="139">
        <v>7928</v>
      </c>
      <c r="AK78" s="139">
        <v>7928</v>
      </c>
      <c r="AL78" s="139">
        <v>7928</v>
      </c>
      <c r="AM78" s="139">
        <v>7928</v>
      </c>
      <c r="AN78" s="139">
        <v>7928</v>
      </c>
      <c r="AO78" s="139">
        <v>7928</v>
      </c>
      <c r="AP78" s="139">
        <v>7928</v>
      </c>
      <c r="AQ78" s="139">
        <v>7928</v>
      </c>
      <c r="AR78" s="139">
        <v>7928</v>
      </c>
      <c r="AS78" s="139">
        <v>7928</v>
      </c>
      <c r="AT78" s="139">
        <v>7928</v>
      </c>
      <c r="AU78" s="139">
        <v>7928</v>
      </c>
      <c r="AV78" s="140"/>
    </row>
    <row r="79" spans="2:48" ht="15.75" customHeight="1" x14ac:dyDescent="0.2">
      <c r="B79" s="136" t="s">
        <v>60</v>
      </c>
      <c r="C79" s="137">
        <v>0</v>
      </c>
      <c r="D79" s="138">
        <v>0</v>
      </c>
      <c r="E79" s="139">
        <v>0</v>
      </c>
      <c r="F79" s="139">
        <v>0</v>
      </c>
      <c r="G79" s="139">
        <v>0</v>
      </c>
      <c r="H79" s="139">
        <v>0</v>
      </c>
      <c r="I79" s="139">
        <v>0</v>
      </c>
      <c r="J79" s="139">
        <v>0</v>
      </c>
      <c r="K79" s="139">
        <v>0</v>
      </c>
      <c r="L79" s="139">
        <v>0</v>
      </c>
      <c r="M79" s="139">
        <v>0</v>
      </c>
      <c r="N79" s="139">
        <v>0</v>
      </c>
      <c r="O79" s="139">
        <v>0</v>
      </c>
      <c r="P79" s="139">
        <v>0</v>
      </c>
      <c r="Q79" s="139">
        <v>0</v>
      </c>
      <c r="R79" s="139">
        <v>0</v>
      </c>
      <c r="S79" s="139">
        <v>0</v>
      </c>
      <c r="T79" s="139">
        <v>0</v>
      </c>
      <c r="U79" s="139">
        <v>0</v>
      </c>
      <c r="V79" s="139">
        <v>0</v>
      </c>
      <c r="W79" s="139">
        <v>0</v>
      </c>
      <c r="X79" s="139">
        <v>33600</v>
      </c>
      <c r="Y79" s="139">
        <v>33600</v>
      </c>
      <c r="Z79" s="139">
        <v>33600</v>
      </c>
      <c r="AA79" s="139">
        <v>33600</v>
      </c>
      <c r="AB79" s="139">
        <v>33600</v>
      </c>
      <c r="AC79" s="139">
        <v>33600</v>
      </c>
      <c r="AD79" s="139">
        <v>33600</v>
      </c>
      <c r="AE79" s="139">
        <v>33600</v>
      </c>
      <c r="AF79" s="139">
        <v>33600</v>
      </c>
      <c r="AG79" s="139">
        <v>33600</v>
      </c>
      <c r="AH79" s="139">
        <v>33600</v>
      </c>
      <c r="AI79" s="139">
        <v>33600</v>
      </c>
      <c r="AJ79" s="139">
        <v>0</v>
      </c>
      <c r="AK79" s="139">
        <v>0</v>
      </c>
      <c r="AL79" s="139">
        <v>0</v>
      </c>
      <c r="AM79" s="139">
        <v>0</v>
      </c>
      <c r="AN79" s="139">
        <v>0</v>
      </c>
      <c r="AO79" s="139">
        <v>0</v>
      </c>
      <c r="AP79" s="139">
        <v>0</v>
      </c>
      <c r="AQ79" s="139">
        <v>0</v>
      </c>
      <c r="AR79" s="139">
        <v>0</v>
      </c>
      <c r="AS79" s="139">
        <v>0</v>
      </c>
      <c r="AT79" s="139">
        <v>0</v>
      </c>
      <c r="AU79" s="139">
        <v>0</v>
      </c>
      <c r="AV79" s="140"/>
    </row>
    <row r="80" spans="2:48" ht="15.75" customHeight="1" x14ac:dyDescent="0.2">
      <c r="B80" s="136" t="s">
        <v>61</v>
      </c>
      <c r="C80" s="137">
        <v>0</v>
      </c>
      <c r="D80" s="138">
        <v>0</v>
      </c>
      <c r="E80" s="139">
        <v>0</v>
      </c>
      <c r="F80" s="139">
        <v>0</v>
      </c>
      <c r="G80" s="139">
        <v>0</v>
      </c>
      <c r="H80" s="139">
        <v>0</v>
      </c>
      <c r="I80" s="139">
        <v>0</v>
      </c>
      <c r="J80" s="139">
        <v>0</v>
      </c>
      <c r="K80" s="139">
        <v>0</v>
      </c>
      <c r="L80" s="139">
        <v>0</v>
      </c>
      <c r="M80" s="139">
        <v>0</v>
      </c>
      <c r="N80" s="139">
        <v>0</v>
      </c>
      <c r="O80" s="139">
        <v>0</v>
      </c>
      <c r="P80" s="139">
        <v>0</v>
      </c>
      <c r="Q80" s="139">
        <v>0</v>
      </c>
      <c r="R80" s="139">
        <v>0</v>
      </c>
      <c r="S80" s="139">
        <v>0</v>
      </c>
      <c r="T80" s="139">
        <v>0</v>
      </c>
      <c r="U80" s="139">
        <v>0</v>
      </c>
      <c r="V80" s="139">
        <v>0</v>
      </c>
      <c r="W80" s="139">
        <v>0</v>
      </c>
      <c r="X80" s="139">
        <v>12000</v>
      </c>
      <c r="Y80" s="139">
        <v>12000</v>
      </c>
      <c r="Z80" s="139">
        <v>12000</v>
      </c>
      <c r="AA80" s="139">
        <v>12000</v>
      </c>
      <c r="AB80" s="139">
        <v>12000</v>
      </c>
      <c r="AC80" s="139">
        <v>12000</v>
      </c>
      <c r="AD80" s="139">
        <v>12000</v>
      </c>
      <c r="AE80" s="139">
        <v>12000</v>
      </c>
      <c r="AF80" s="139">
        <v>12000</v>
      </c>
      <c r="AG80" s="139">
        <v>12000</v>
      </c>
      <c r="AH80" s="139">
        <v>12000</v>
      </c>
      <c r="AI80" s="139">
        <v>12000</v>
      </c>
      <c r="AJ80" s="139">
        <v>18000</v>
      </c>
      <c r="AK80" s="139">
        <v>18000</v>
      </c>
      <c r="AL80" s="139">
        <v>18000</v>
      </c>
      <c r="AM80" s="139">
        <v>18000</v>
      </c>
      <c r="AN80" s="139">
        <v>18000</v>
      </c>
      <c r="AO80" s="139">
        <v>18000</v>
      </c>
      <c r="AP80" s="139">
        <v>18000</v>
      </c>
      <c r="AQ80" s="139">
        <v>18000</v>
      </c>
      <c r="AR80" s="139">
        <v>18000</v>
      </c>
      <c r="AS80" s="139">
        <v>18000</v>
      </c>
      <c r="AT80" s="139">
        <v>18000</v>
      </c>
      <c r="AU80" s="139">
        <v>18000</v>
      </c>
      <c r="AV80" s="140"/>
    </row>
    <row r="81" spans="2:48" ht="15.75" customHeight="1" x14ac:dyDescent="0.2">
      <c r="B81" s="136" t="s">
        <v>62</v>
      </c>
      <c r="C81" s="137">
        <v>0</v>
      </c>
      <c r="D81" s="138">
        <v>0</v>
      </c>
      <c r="E81" s="139">
        <v>0</v>
      </c>
      <c r="F81" s="139">
        <v>0</v>
      </c>
      <c r="G81" s="139">
        <v>0</v>
      </c>
      <c r="H81" s="139">
        <v>0</v>
      </c>
      <c r="I81" s="139">
        <v>0</v>
      </c>
      <c r="J81" s="139">
        <v>0</v>
      </c>
      <c r="K81" s="139">
        <v>0</v>
      </c>
      <c r="L81" s="139">
        <v>0</v>
      </c>
      <c r="M81" s="139">
        <v>0</v>
      </c>
      <c r="N81" s="139">
        <v>0</v>
      </c>
      <c r="O81" s="139">
        <v>0</v>
      </c>
      <c r="P81" s="139">
        <v>0</v>
      </c>
      <c r="Q81" s="139">
        <v>0</v>
      </c>
      <c r="R81" s="139">
        <v>0</v>
      </c>
      <c r="S81" s="139">
        <v>0</v>
      </c>
      <c r="T81" s="139">
        <v>0</v>
      </c>
      <c r="U81" s="139">
        <v>0</v>
      </c>
      <c r="V81" s="139">
        <v>0</v>
      </c>
      <c r="W81" s="139">
        <v>0</v>
      </c>
      <c r="X81" s="139">
        <v>5000</v>
      </c>
      <c r="Y81" s="139">
        <v>5000</v>
      </c>
      <c r="Z81" s="139">
        <v>5000</v>
      </c>
      <c r="AA81" s="139">
        <v>5000</v>
      </c>
      <c r="AB81" s="139">
        <v>5000</v>
      </c>
      <c r="AC81" s="139">
        <v>5000</v>
      </c>
      <c r="AD81" s="139">
        <v>5000</v>
      </c>
      <c r="AE81" s="139">
        <v>5000</v>
      </c>
      <c r="AF81" s="139">
        <v>5000</v>
      </c>
      <c r="AG81" s="139">
        <v>5000</v>
      </c>
      <c r="AH81" s="139">
        <v>5000</v>
      </c>
      <c r="AI81" s="139">
        <v>5000</v>
      </c>
      <c r="AJ81" s="139">
        <v>5000</v>
      </c>
      <c r="AK81" s="139">
        <v>5000</v>
      </c>
      <c r="AL81" s="139">
        <v>5000</v>
      </c>
      <c r="AM81" s="139">
        <v>5000</v>
      </c>
      <c r="AN81" s="139">
        <v>5000</v>
      </c>
      <c r="AO81" s="139">
        <v>5000</v>
      </c>
      <c r="AP81" s="139">
        <v>5000</v>
      </c>
      <c r="AQ81" s="139">
        <v>5000</v>
      </c>
      <c r="AR81" s="139">
        <v>0</v>
      </c>
      <c r="AS81" s="139">
        <v>0</v>
      </c>
      <c r="AT81" s="139">
        <v>0</v>
      </c>
      <c r="AU81" s="139">
        <v>0</v>
      </c>
      <c r="AV81" s="140"/>
    </row>
    <row r="82" spans="2:48" ht="15.75" customHeight="1" x14ac:dyDescent="0.2">
      <c r="B82" s="136" t="s">
        <v>63</v>
      </c>
      <c r="C82" s="137">
        <v>0</v>
      </c>
      <c r="D82" s="138">
        <v>0</v>
      </c>
      <c r="E82" s="139">
        <v>0</v>
      </c>
      <c r="F82" s="139">
        <v>0</v>
      </c>
      <c r="G82" s="139">
        <v>0</v>
      </c>
      <c r="H82" s="139">
        <v>0</v>
      </c>
      <c r="I82" s="139">
        <v>0</v>
      </c>
      <c r="J82" s="139">
        <v>0</v>
      </c>
      <c r="K82" s="139">
        <v>0</v>
      </c>
      <c r="L82" s="139">
        <v>0</v>
      </c>
      <c r="M82" s="139">
        <v>0</v>
      </c>
      <c r="N82" s="139">
        <v>0</v>
      </c>
      <c r="O82" s="139">
        <v>0</v>
      </c>
      <c r="P82" s="139">
        <v>0</v>
      </c>
      <c r="Q82" s="139">
        <v>0</v>
      </c>
      <c r="R82" s="139">
        <v>0</v>
      </c>
      <c r="S82" s="139">
        <v>0</v>
      </c>
      <c r="T82" s="139">
        <v>0</v>
      </c>
      <c r="U82" s="139">
        <v>0</v>
      </c>
      <c r="V82" s="139">
        <v>0</v>
      </c>
      <c r="W82" s="139">
        <v>0</v>
      </c>
      <c r="X82" s="139">
        <v>80064</v>
      </c>
      <c r="Y82" s="139">
        <v>80064</v>
      </c>
      <c r="Z82" s="139">
        <v>80064</v>
      </c>
      <c r="AA82" s="139">
        <v>80064</v>
      </c>
      <c r="AB82" s="139">
        <v>80064</v>
      </c>
      <c r="AC82" s="139">
        <v>80064</v>
      </c>
      <c r="AD82" s="139">
        <v>80064</v>
      </c>
      <c r="AE82" s="139">
        <v>80064</v>
      </c>
      <c r="AF82" s="139">
        <v>80064</v>
      </c>
      <c r="AG82" s="139">
        <v>80064</v>
      </c>
      <c r="AH82" s="139">
        <v>80064</v>
      </c>
      <c r="AI82" s="139">
        <v>80064</v>
      </c>
      <c r="AJ82" s="139">
        <v>0</v>
      </c>
      <c r="AK82" s="139">
        <v>0</v>
      </c>
      <c r="AL82" s="139">
        <v>0</v>
      </c>
      <c r="AM82" s="139">
        <v>0</v>
      </c>
      <c r="AN82" s="139">
        <v>0</v>
      </c>
      <c r="AO82" s="139">
        <v>0</v>
      </c>
      <c r="AP82" s="139">
        <v>0</v>
      </c>
      <c r="AQ82" s="139">
        <v>0</v>
      </c>
      <c r="AR82" s="139">
        <v>0</v>
      </c>
      <c r="AS82" s="139">
        <v>0</v>
      </c>
      <c r="AT82" s="139">
        <v>0</v>
      </c>
      <c r="AU82" s="139">
        <v>0</v>
      </c>
      <c r="AV82" s="140"/>
    </row>
    <row r="83" spans="2:48" ht="15.75" customHeight="1" x14ac:dyDescent="0.2">
      <c r="B83" s="136" t="s">
        <v>64</v>
      </c>
      <c r="C83" s="137">
        <v>0</v>
      </c>
      <c r="D83" s="138">
        <v>0</v>
      </c>
      <c r="E83" s="139">
        <v>0</v>
      </c>
      <c r="F83" s="139">
        <v>0</v>
      </c>
      <c r="G83" s="139">
        <v>0</v>
      </c>
      <c r="H83" s="139">
        <v>0</v>
      </c>
      <c r="I83" s="139">
        <v>0</v>
      </c>
      <c r="J83" s="139">
        <v>0</v>
      </c>
      <c r="K83" s="139">
        <v>0</v>
      </c>
      <c r="L83" s="139">
        <v>0</v>
      </c>
      <c r="M83" s="139">
        <v>0</v>
      </c>
      <c r="N83" s="139">
        <v>0</v>
      </c>
      <c r="O83" s="139">
        <v>0</v>
      </c>
      <c r="P83" s="139">
        <v>0</v>
      </c>
      <c r="Q83" s="139">
        <v>0</v>
      </c>
      <c r="R83" s="139">
        <v>0</v>
      </c>
      <c r="S83" s="139">
        <v>0</v>
      </c>
      <c r="T83" s="139">
        <v>0</v>
      </c>
      <c r="U83" s="139">
        <v>0</v>
      </c>
      <c r="V83" s="139">
        <v>0</v>
      </c>
      <c r="W83" s="139">
        <v>0</v>
      </c>
      <c r="X83" s="139">
        <v>0</v>
      </c>
      <c r="Y83" s="139">
        <v>6000</v>
      </c>
      <c r="Z83" s="139">
        <v>6000</v>
      </c>
      <c r="AA83" s="139">
        <v>6000</v>
      </c>
      <c r="AB83" s="139">
        <v>6000</v>
      </c>
      <c r="AC83" s="139">
        <v>6000</v>
      </c>
      <c r="AD83" s="139">
        <v>6000</v>
      </c>
      <c r="AE83" s="139">
        <v>6000</v>
      </c>
      <c r="AF83" s="139">
        <v>6000</v>
      </c>
      <c r="AG83" s="139">
        <v>6000</v>
      </c>
      <c r="AH83" s="139">
        <v>6000</v>
      </c>
      <c r="AI83" s="139">
        <v>6000</v>
      </c>
      <c r="AJ83" s="139">
        <v>6000</v>
      </c>
      <c r="AK83" s="139">
        <v>0</v>
      </c>
      <c r="AL83" s="139">
        <v>0</v>
      </c>
      <c r="AM83" s="139">
        <v>0</v>
      </c>
      <c r="AN83" s="139">
        <v>0</v>
      </c>
      <c r="AO83" s="139">
        <v>0</v>
      </c>
      <c r="AP83" s="139">
        <v>0</v>
      </c>
      <c r="AQ83" s="139">
        <v>0</v>
      </c>
      <c r="AR83" s="139">
        <v>0</v>
      </c>
      <c r="AS83" s="139">
        <v>0</v>
      </c>
      <c r="AT83" s="139">
        <v>0</v>
      </c>
      <c r="AU83" s="139">
        <v>0</v>
      </c>
      <c r="AV83" s="140"/>
    </row>
    <row r="84" spans="2:48" ht="15.75" customHeight="1" x14ac:dyDescent="0.2">
      <c r="B84" s="136" t="s">
        <v>65</v>
      </c>
      <c r="C84" s="137">
        <v>0</v>
      </c>
      <c r="D84" s="138">
        <v>0</v>
      </c>
      <c r="E84" s="139">
        <v>0</v>
      </c>
      <c r="F84" s="139">
        <v>0</v>
      </c>
      <c r="G84" s="139">
        <v>0</v>
      </c>
      <c r="H84" s="139">
        <v>0</v>
      </c>
      <c r="I84" s="139">
        <v>0</v>
      </c>
      <c r="J84" s="139">
        <v>0</v>
      </c>
      <c r="K84" s="139">
        <v>0</v>
      </c>
      <c r="L84" s="139">
        <v>0</v>
      </c>
      <c r="M84" s="139">
        <v>0</v>
      </c>
      <c r="N84" s="139">
        <v>0</v>
      </c>
      <c r="O84" s="139">
        <v>0</v>
      </c>
      <c r="P84" s="139">
        <v>0</v>
      </c>
      <c r="Q84" s="139">
        <v>0</v>
      </c>
      <c r="R84" s="139">
        <v>0</v>
      </c>
      <c r="S84" s="139">
        <v>0</v>
      </c>
      <c r="T84" s="139">
        <v>0</v>
      </c>
      <c r="U84" s="139">
        <v>0</v>
      </c>
      <c r="V84" s="139">
        <v>0</v>
      </c>
      <c r="W84" s="139">
        <v>0</v>
      </c>
      <c r="X84" s="139">
        <v>0</v>
      </c>
      <c r="Y84" s="139">
        <v>10368</v>
      </c>
      <c r="Z84" s="139">
        <v>10368</v>
      </c>
      <c r="AA84" s="139">
        <v>10368</v>
      </c>
      <c r="AB84" s="139">
        <v>10368</v>
      </c>
      <c r="AC84" s="139">
        <v>10368</v>
      </c>
      <c r="AD84" s="139">
        <v>10368</v>
      </c>
      <c r="AE84" s="139">
        <v>10368</v>
      </c>
      <c r="AF84" s="139">
        <v>10368</v>
      </c>
      <c r="AG84" s="139">
        <v>10368</v>
      </c>
      <c r="AH84" s="139">
        <v>10368</v>
      </c>
      <c r="AI84" s="139">
        <v>10368</v>
      </c>
      <c r="AJ84" s="139">
        <v>10368</v>
      </c>
      <c r="AK84" s="139">
        <v>16512</v>
      </c>
      <c r="AL84" s="139">
        <v>16512</v>
      </c>
      <c r="AM84" s="139">
        <v>16512</v>
      </c>
      <c r="AN84" s="139">
        <v>16512</v>
      </c>
      <c r="AO84" s="139">
        <v>16512</v>
      </c>
      <c r="AP84" s="139">
        <v>16512</v>
      </c>
      <c r="AQ84" s="139">
        <v>16512</v>
      </c>
      <c r="AR84" s="139">
        <v>16512</v>
      </c>
      <c r="AS84" s="139">
        <v>16512</v>
      </c>
      <c r="AT84" s="139">
        <v>16512</v>
      </c>
      <c r="AU84" s="139">
        <v>16512</v>
      </c>
      <c r="AV84" s="140"/>
    </row>
    <row r="85" spans="2:48" ht="15.75" customHeight="1" x14ac:dyDescent="0.2">
      <c r="B85" s="136" t="s">
        <v>66</v>
      </c>
      <c r="C85" s="137">
        <v>0</v>
      </c>
      <c r="D85" s="138">
        <v>0</v>
      </c>
      <c r="E85" s="139">
        <v>0</v>
      </c>
      <c r="F85" s="139">
        <v>0</v>
      </c>
      <c r="G85" s="139">
        <v>0</v>
      </c>
      <c r="H85" s="139">
        <v>0</v>
      </c>
      <c r="I85" s="139">
        <v>0</v>
      </c>
      <c r="J85" s="139">
        <v>0</v>
      </c>
      <c r="K85" s="139">
        <v>0</v>
      </c>
      <c r="L85" s="139">
        <v>0</v>
      </c>
      <c r="M85" s="139">
        <v>0</v>
      </c>
      <c r="N85" s="139">
        <v>0</v>
      </c>
      <c r="O85" s="139">
        <v>0</v>
      </c>
      <c r="P85" s="139">
        <v>0</v>
      </c>
      <c r="Q85" s="139">
        <v>0</v>
      </c>
      <c r="R85" s="139">
        <v>0</v>
      </c>
      <c r="S85" s="139">
        <v>0</v>
      </c>
      <c r="T85" s="139">
        <v>0</v>
      </c>
      <c r="U85" s="139">
        <v>0</v>
      </c>
      <c r="V85" s="139">
        <v>0</v>
      </c>
      <c r="W85" s="139">
        <v>0</v>
      </c>
      <c r="X85" s="139">
        <v>0</v>
      </c>
      <c r="Y85" s="139">
        <v>24000</v>
      </c>
      <c r="Z85" s="139">
        <v>24000</v>
      </c>
      <c r="AA85" s="139">
        <v>24000</v>
      </c>
      <c r="AB85" s="139">
        <v>24000</v>
      </c>
      <c r="AC85" s="139">
        <v>24000</v>
      </c>
      <c r="AD85" s="139">
        <v>24000</v>
      </c>
      <c r="AE85" s="139">
        <v>24000</v>
      </c>
      <c r="AF85" s="139">
        <v>24000</v>
      </c>
      <c r="AG85" s="139">
        <v>24000</v>
      </c>
      <c r="AH85" s="139">
        <v>24000</v>
      </c>
      <c r="AI85" s="139">
        <v>24000</v>
      </c>
      <c r="AJ85" s="139">
        <v>24000</v>
      </c>
      <c r="AK85" s="139">
        <v>24000</v>
      </c>
      <c r="AL85" s="139">
        <v>24000</v>
      </c>
      <c r="AM85" s="139">
        <v>24000</v>
      </c>
      <c r="AN85" s="139">
        <v>24000</v>
      </c>
      <c r="AO85" s="139">
        <v>24000</v>
      </c>
      <c r="AP85" s="139">
        <v>24000</v>
      </c>
      <c r="AQ85" s="139">
        <v>0</v>
      </c>
      <c r="AR85" s="139">
        <v>0</v>
      </c>
      <c r="AS85" s="139">
        <v>0</v>
      </c>
      <c r="AT85" s="139">
        <v>0</v>
      </c>
      <c r="AU85" s="139">
        <v>0</v>
      </c>
      <c r="AV85" s="140"/>
    </row>
    <row r="86" spans="2:48" ht="15.75" customHeight="1" x14ac:dyDescent="0.2">
      <c r="B86" s="136" t="s">
        <v>67</v>
      </c>
      <c r="C86" s="137">
        <v>0</v>
      </c>
      <c r="D86" s="138">
        <v>0</v>
      </c>
      <c r="E86" s="139">
        <v>0</v>
      </c>
      <c r="F86" s="139">
        <v>0</v>
      </c>
      <c r="G86" s="139">
        <v>0</v>
      </c>
      <c r="H86" s="139">
        <v>0</v>
      </c>
      <c r="I86" s="139">
        <v>0</v>
      </c>
      <c r="J86" s="139">
        <v>0</v>
      </c>
      <c r="K86" s="139">
        <v>0</v>
      </c>
      <c r="L86" s="139">
        <v>0</v>
      </c>
      <c r="M86" s="139">
        <v>0</v>
      </c>
      <c r="N86" s="139">
        <v>0</v>
      </c>
      <c r="O86" s="139">
        <v>0</v>
      </c>
      <c r="P86" s="139">
        <v>0</v>
      </c>
      <c r="Q86" s="139">
        <v>0</v>
      </c>
      <c r="R86" s="139">
        <v>0</v>
      </c>
      <c r="S86" s="139">
        <v>0</v>
      </c>
      <c r="T86" s="139">
        <v>0</v>
      </c>
      <c r="U86" s="139">
        <v>0</v>
      </c>
      <c r="V86" s="139">
        <v>0</v>
      </c>
      <c r="W86" s="139">
        <v>0</v>
      </c>
      <c r="X86" s="139">
        <v>0</v>
      </c>
      <c r="Y86" s="139">
        <v>21600</v>
      </c>
      <c r="Z86" s="139">
        <v>21600</v>
      </c>
      <c r="AA86" s="139">
        <v>21600</v>
      </c>
      <c r="AB86" s="139">
        <v>21600</v>
      </c>
      <c r="AC86" s="139">
        <v>21600</v>
      </c>
      <c r="AD86" s="139">
        <v>21600</v>
      </c>
      <c r="AE86" s="139">
        <v>21600</v>
      </c>
      <c r="AF86" s="139">
        <v>21600</v>
      </c>
      <c r="AG86" s="139">
        <v>21600</v>
      </c>
      <c r="AH86" s="139">
        <v>21600</v>
      </c>
      <c r="AI86" s="139">
        <v>21600</v>
      </c>
      <c r="AJ86" s="139">
        <v>21600</v>
      </c>
      <c r="AK86" s="139">
        <v>32400</v>
      </c>
      <c r="AL86" s="139">
        <v>32400</v>
      </c>
      <c r="AM86" s="139">
        <v>32400</v>
      </c>
      <c r="AN86" s="139">
        <v>32400</v>
      </c>
      <c r="AO86" s="139">
        <v>32400</v>
      </c>
      <c r="AP86" s="139">
        <v>32400</v>
      </c>
      <c r="AQ86" s="139">
        <v>32400</v>
      </c>
      <c r="AR86" s="139">
        <v>32400</v>
      </c>
      <c r="AS86" s="139">
        <v>32400</v>
      </c>
      <c r="AT86" s="139">
        <v>32400</v>
      </c>
      <c r="AU86" s="139">
        <v>32400</v>
      </c>
      <c r="AV86" s="140"/>
    </row>
    <row r="87" spans="2:48" ht="15.75" customHeight="1" x14ac:dyDescent="0.2">
      <c r="B87" s="136" t="s">
        <v>68</v>
      </c>
      <c r="C87" s="137">
        <v>0</v>
      </c>
      <c r="D87" s="138">
        <v>0</v>
      </c>
      <c r="E87" s="139">
        <v>0</v>
      </c>
      <c r="F87" s="139">
        <v>0</v>
      </c>
      <c r="G87" s="139">
        <v>0</v>
      </c>
      <c r="H87" s="139">
        <v>0</v>
      </c>
      <c r="I87" s="139">
        <v>0</v>
      </c>
      <c r="J87" s="139">
        <v>0</v>
      </c>
      <c r="K87" s="139">
        <v>0</v>
      </c>
      <c r="L87" s="139">
        <v>0</v>
      </c>
      <c r="M87" s="139">
        <v>0</v>
      </c>
      <c r="N87" s="139">
        <v>0</v>
      </c>
      <c r="O87" s="139">
        <v>0</v>
      </c>
      <c r="P87" s="139">
        <v>0</v>
      </c>
      <c r="Q87" s="139">
        <v>0</v>
      </c>
      <c r="R87" s="139">
        <v>0</v>
      </c>
      <c r="S87" s="139">
        <v>0</v>
      </c>
      <c r="T87" s="139">
        <v>0</v>
      </c>
      <c r="U87" s="139">
        <v>0</v>
      </c>
      <c r="V87" s="139">
        <v>0</v>
      </c>
      <c r="W87" s="139">
        <v>0</v>
      </c>
      <c r="X87" s="139">
        <v>0</v>
      </c>
      <c r="Y87" s="139">
        <v>20064</v>
      </c>
      <c r="Z87" s="139">
        <v>20064</v>
      </c>
      <c r="AA87" s="139">
        <v>20064</v>
      </c>
      <c r="AB87" s="139">
        <v>20064</v>
      </c>
      <c r="AC87" s="139">
        <v>20064</v>
      </c>
      <c r="AD87" s="139">
        <v>20064</v>
      </c>
      <c r="AE87" s="139">
        <v>20064</v>
      </c>
      <c r="AF87" s="139">
        <v>20064</v>
      </c>
      <c r="AG87" s="139">
        <v>20064</v>
      </c>
      <c r="AH87" s="139">
        <v>20064</v>
      </c>
      <c r="AI87" s="139">
        <v>20064</v>
      </c>
      <c r="AJ87" s="139">
        <v>20064</v>
      </c>
      <c r="AK87" s="139">
        <v>21806</v>
      </c>
      <c r="AL87" s="139">
        <v>21806</v>
      </c>
      <c r="AM87" s="139">
        <v>21806</v>
      </c>
      <c r="AN87" s="139">
        <v>21806</v>
      </c>
      <c r="AO87" s="139">
        <v>21806</v>
      </c>
      <c r="AP87" s="139">
        <v>21806</v>
      </c>
      <c r="AQ87" s="139">
        <v>21806</v>
      </c>
      <c r="AR87" s="139">
        <v>21806</v>
      </c>
      <c r="AS87" s="139">
        <v>21806</v>
      </c>
      <c r="AT87" s="139">
        <v>21806</v>
      </c>
      <c r="AU87" s="139">
        <v>21806</v>
      </c>
      <c r="AV87" s="140"/>
    </row>
    <row r="88" spans="2:48" ht="15.75" customHeight="1" x14ac:dyDescent="0.2">
      <c r="B88" s="136" t="s">
        <v>69</v>
      </c>
      <c r="C88" s="137">
        <v>0</v>
      </c>
      <c r="D88" s="138">
        <v>0</v>
      </c>
      <c r="E88" s="139">
        <v>0</v>
      </c>
      <c r="F88" s="139">
        <v>0</v>
      </c>
      <c r="G88" s="139">
        <v>0</v>
      </c>
      <c r="H88" s="139">
        <v>0</v>
      </c>
      <c r="I88" s="139">
        <v>0</v>
      </c>
      <c r="J88" s="139">
        <v>0</v>
      </c>
      <c r="K88" s="139">
        <v>0</v>
      </c>
      <c r="L88" s="139">
        <v>0</v>
      </c>
      <c r="M88" s="139">
        <v>0</v>
      </c>
      <c r="N88" s="139">
        <v>0</v>
      </c>
      <c r="O88" s="139">
        <v>0</v>
      </c>
      <c r="P88" s="139">
        <v>0</v>
      </c>
      <c r="Q88" s="139">
        <v>0</v>
      </c>
      <c r="R88" s="139">
        <v>0</v>
      </c>
      <c r="S88" s="139">
        <v>0</v>
      </c>
      <c r="T88" s="139">
        <v>0</v>
      </c>
      <c r="U88" s="139">
        <v>0</v>
      </c>
      <c r="V88" s="139">
        <v>0</v>
      </c>
      <c r="W88" s="139">
        <v>0</v>
      </c>
      <c r="X88" s="139">
        <v>0</v>
      </c>
      <c r="Y88" s="139">
        <v>6000</v>
      </c>
      <c r="Z88" s="139">
        <v>6000</v>
      </c>
      <c r="AA88" s="139">
        <v>6000</v>
      </c>
      <c r="AB88" s="139">
        <v>6000</v>
      </c>
      <c r="AC88" s="139">
        <v>6000</v>
      </c>
      <c r="AD88" s="139">
        <v>6000</v>
      </c>
      <c r="AE88" s="139">
        <v>6000</v>
      </c>
      <c r="AF88" s="139">
        <v>6000</v>
      </c>
      <c r="AG88" s="139">
        <v>6000</v>
      </c>
      <c r="AH88" s="139">
        <v>6000</v>
      </c>
      <c r="AI88" s="139">
        <v>6000</v>
      </c>
      <c r="AJ88" s="139">
        <v>6000</v>
      </c>
      <c r="AK88" s="139">
        <v>6000</v>
      </c>
      <c r="AL88" s="139">
        <v>6000</v>
      </c>
      <c r="AM88" s="139">
        <v>6000</v>
      </c>
      <c r="AN88" s="139">
        <v>6000</v>
      </c>
      <c r="AO88" s="139">
        <v>6000</v>
      </c>
      <c r="AP88" s="139">
        <v>6000</v>
      </c>
      <c r="AQ88" s="139">
        <v>6000</v>
      </c>
      <c r="AR88" s="139">
        <v>6000</v>
      </c>
      <c r="AS88" s="139">
        <v>6000</v>
      </c>
      <c r="AT88" s="139">
        <v>6000</v>
      </c>
      <c r="AU88" s="139">
        <v>6000</v>
      </c>
      <c r="AV88" s="140"/>
    </row>
    <row r="89" spans="2:48" ht="15.75" customHeight="1" x14ac:dyDescent="0.2">
      <c r="B89" s="136" t="s">
        <v>70</v>
      </c>
      <c r="C89" s="137">
        <v>0</v>
      </c>
      <c r="D89" s="138">
        <v>0</v>
      </c>
      <c r="E89" s="139">
        <v>0</v>
      </c>
      <c r="F89" s="139">
        <v>0</v>
      </c>
      <c r="G89" s="139">
        <v>0</v>
      </c>
      <c r="H89" s="139">
        <v>0</v>
      </c>
      <c r="I89" s="139">
        <v>0</v>
      </c>
      <c r="J89" s="139">
        <v>0</v>
      </c>
      <c r="K89" s="139">
        <v>0</v>
      </c>
      <c r="L89" s="139">
        <v>0</v>
      </c>
      <c r="M89" s="139">
        <v>0</v>
      </c>
      <c r="N89" s="139">
        <v>0</v>
      </c>
      <c r="O89" s="139">
        <v>0</v>
      </c>
      <c r="P89" s="139">
        <v>0</v>
      </c>
      <c r="Q89" s="139">
        <v>0</v>
      </c>
      <c r="R89" s="139">
        <v>0</v>
      </c>
      <c r="S89" s="139">
        <v>0</v>
      </c>
      <c r="T89" s="139">
        <v>0</v>
      </c>
      <c r="U89" s="139">
        <v>0</v>
      </c>
      <c r="V89" s="139">
        <v>0</v>
      </c>
      <c r="W89" s="139">
        <v>0</v>
      </c>
      <c r="X89" s="139">
        <v>0</v>
      </c>
      <c r="Y89" s="139">
        <v>0</v>
      </c>
      <c r="Z89" s="139">
        <v>7740</v>
      </c>
      <c r="AA89" s="139">
        <v>7740</v>
      </c>
      <c r="AB89" s="139">
        <v>7740</v>
      </c>
      <c r="AC89" s="139">
        <v>7740</v>
      </c>
      <c r="AD89" s="139">
        <v>7740</v>
      </c>
      <c r="AE89" s="139">
        <v>7740</v>
      </c>
      <c r="AF89" s="139">
        <v>7740</v>
      </c>
      <c r="AG89" s="139">
        <v>7740</v>
      </c>
      <c r="AH89" s="139">
        <v>7740</v>
      </c>
      <c r="AI89" s="139">
        <v>7740</v>
      </c>
      <c r="AJ89" s="139">
        <v>7740</v>
      </c>
      <c r="AK89" s="139">
        <v>7740</v>
      </c>
      <c r="AL89" s="139">
        <v>7740</v>
      </c>
      <c r="AM89" s="139">
        <v>15696</v>
      </c>
      <c r="AN89" s="139">
        <v>15696</v>
      </c>
      <c r="AO89" s="139">
        <v>15696</v>
      </c>
      <c r="AP89" s="139">
        <v>15696</v>
      </c>
      <c r="AQ89" s="139">
        <v>15696</v>
      </c>
      <c r="AR89" s="139">
        <v>15696</v>
      </c>
      <c r="AS89" s="139">
        <v>15696</v>
      </c>
      <c r="AT89" s="139">
        <v>15696</v>
      </c>
      <c r="AU89" s="139">
        <v>15696</v>
      </c>
      <c r="AV89" s="140"/>
    </row>
    <row r="90" spans="2:48" ht="15.75" customHeight="1" x14ac:dyDescent="0.2">
      <c r="B90" s="136" t="s">
        <v>71</v>
      </c>
      <c r="C90" s="137">
        <v>0</v>
      </c>
      <c r="D90" s="138">
        <v>0</v>
      </c>
      <c r="E90" s="139">
        <v>0</v>
      </c>
      <c r="F90" s="139">
        <v>0</v>
      </c>
      <c r="G90" s="139">
        <v>0</v>
      </c>
      <c r="H90" s="139">
        <v>0</v>
      </c>
      <c r="I90" s="139">
        <v>0</v>
      </c>
      <c r="J90" s="139">
        <v>0</v>
      </c>
      <c r="K90" s="139">
        <v>0</v>
      </c>
      <c r="L90" s="139">
        <v>0</v>
      </c>
      <c r="M90" s="139">
        <v>0</v>
      </c>
      <c r="N90" s="139">
        <v>0</v>
      </c>
      <c r="O90" s="139">
        <v>0</v>
      </c>
      <c r="P90" s="139">
        <v>0</v>
      </c>
      <c r="Q90" s="139">
        <v>0</v>
      </c>
      <c r="R90" s="139">
        <v>0</v>
      </c>
      <c r="S90" s="139">
        <v>0</v>
      </c>
      <c r="T90" s="139">
        <v>0</v>
      </c>
      <c r="U90" s="139">
        <v>0</v>
      </c>
      <c r="V90" s="139">
        <v>0</v>
      </c>
      <c r="W90" s="139">
        <v>0</v>
      </c>
      <c r="X90" s="139">
        <v>0</v>
      </c>
      <c r="Y90" s="139">
        <v>0</v>
      </c>
      <c r="Z90" s="139">
        <v>29400</v>
      </c>
      <c r="AA90" s="139">
        <v>29400</v>
      </c>
      <c r="AB90" s="139">
        <v>29400</v>
      </c>
      <c r="AC90" s="139">
        <v>29400</v>
      </c>
      <c r="AD90" s="139">
        <v>29400</v>
      </c>
      <c r="AE90" s="139">
        <v>29400</v>
      </c>
      <c r="AF90" s="139">
        <v>29400</v>
      </c>
      <c r="AG90" s="139">
        <v>29400</v>
      </c>
      <c r="AH90" s="139">
        <v>29400</v>
      </c>
      <c r="AI90" s="139">
        <v>29400</v>
      </c>
      <c r="AJ90" s="139">
        <v>29400</v>
      </c>
      <c r="AK90" s="139">
        <v>29400</v>
      </c>
      <c r="AL90" s="139">
        <v>43092</v>
      </c>
      <c r="AM90" s="139">
        <v>43092</v>
      </c>
      <c r="AN90" s="139">
        <v>43092</v>
      </c>
      <c r="AO90" s="139">
        <v>43092</v>
      </c>
      <c r="AP90" s="139">
        <v>43092</v>
      </c>
      <c r="AQ90" s="139">
        <v>43092</v>
      </c>
      <c r="AR90" s="139">
        <v>43092</v>
      </c>
      <c r="AS90" s="139">
        <v>43092</v>
      </c>
      <c r="AT90" s="139">
        <v>43092</v>
      </c>
      <c r="AU90" s="139">
        <v>43092</v>
      </c>
      <c r="AV90" s="140"/>
    </row>
    <row r="91" spans="2:48" ht="15.75" customHeight="1" x14ac:dyDescent="0.2">
      <c r="B91" s="136" t="s">
        <v>72</v>
      </c>
      <c r="C91" s="137">
        <v>0</v>
      </c>
      <c r="D91" s="138">
        <v>0</v>
      </c>
      <c r="E91" s="139">
        <v>0</v>
      </c>
      <c r="F91" s="139">
        <v>0</v>
      </c>
      <c r="G91" s="139">
        <v>0</v>
      </c>
      <c r="H91" s="139">
        <v>0</v>
      </c>
      <c r="I91" s="139">
        <v>0</v>
      </c>
      <c r="J91" s="139">
        <v>0</v>
      </c>
      <c r="K91" s="139">
        <v>0</v>
      </c>
      <c r="L91" s="139">
        <v>0</v>
      </c>
      <c r="M91" s="139">
        <v>0</v>
      </c>
      <c r="N91" s="139">
        <v>0</v>
      </c>
      <c r="O91" s="139">
        <v>0</v>
      </c>
      <c r="P91" s="139">
        <v>0</v>
      </c>
      <c r="Q91" s="139">
        <v>0</v>
      </c>
      <c r="R91" s="139">
        <v>0</v>
      </c>
      <c r="S91" s="139">
        <v>0</v>
      </c>
      <c r="T91" s="139">
        <v>0</v>
      </c>
      <c r="U91" s="139">
        <v>0</v>
      </c>
      <c r="V91" s="139">
        <v>0</v>
      </c>
      <c r="W91" s="139">
        <v>0</v>
      </c>
      <c r="X91" s="139">
        <v>0</v>
      </c>
      <c r="Y91" s="139">
        <v>0</v>
      </c>
      <c r="Z91" s="139">
        <v>42750</v>
      </c>
      <c r="AA91" s="139">
        <v>42750</v>
      </c>
      <c r="AB91" s="139">
        <v>42750</v>
      </c>
      <c r="AC91" s="139">
        <v>42750</v>
      </c>
      <c r="AD91" s="139">
        <v>42750</v>
      </c>
      <c r="AE91" s="139">
        <v>42750</v>
      </c>
      <c r="AF91" s="139">
        <v>42750</v>
      </c>
      <c r="AG91" s="139">
        <v>42750</v>
      </c>
      <c r="AH91" s="139">
        <v>42750</v>
      </c>
      <c r="AI91" s="139">
        <v>42750</v>
      </c>
      <c r="AJ91" s="139">
        <v>42750</v>
      </c>
      <c r="AK91" s="139">
        <v>42750</v>
      </c>
      <c r="AL91" s="139">
        <v>42750</v>
      </c>
      <c r="AM91" s="139">
        <v>49632</v>
      </c>
      <c r="AN91" s="139">
        <v>49632</v>
      </c>
      <c r="AO91" s="139">
        <v>49632</v>
      </c>
      <c r="AP91" s="139">
        <v>49632</v>
      </c>
      <c r="AQ91" s="139">
        <v>49632</v>
      </c>
      <c r="AR91" s="139">
        <v>49632</v>
      </c>
      <c r="AS91" s="139">
        <v>49632</v>
      </c>
      <c r="AT91" s="139">
        <v>49632</v>
      </c>
      <c r="AU91" s="139">
        <v>49632</v>
      </c>
      <c r="AV91" s="140"/>
    </row>
    <row r="92" spans="2:48" ht="15.75" customHeight="1" x14ac:dyDescent="0.2">
      <c r="B92" s="136" t="s">
        <v>73</v>
      </c>
      <c r="C92" s="137">
        <v>0</v>
      </c>
      <c r="D92" s="138">
        <v>0</v>
      </c>
      <c r="E92" s="139">
        <v>0</v>
      </c>
      <c r="F92" s="139">
        <v>0</v>
      </c>
      <c r="G92" s="139">
        <v>0</v>
      </c>
      <c r="H92" s="139">
        <v>0</v>
      </c>
      <c r="I92" s="139">
        <v>0</v>
      </c>
      <c r="J92" s="139">
        <v>0</v>
      </c>
      <c r="K92" s="139">
        <v>0</v>
      </c>
      <c r="L92" s="139">
        <v>0</v>
      </c>
      <c r="M92" s="139">
        <v>0</v>
      </c>
      <c r="N92" s="139">
        <v>0</v>
      </c>
      <c r="O92" s="139">
        <v>0</v>
      </c>
      <c r="P92" s="139">
        <v>0</v>
      </c>
      <c r="Q92" s="139">
        <v>0</v>
      </c>
      <c r="R92" s="139">
        <v>0</v>
      </c>
      <c r="S92" s="139">
        <v>0</v>
      </c>
      <c r="T92" s="139">
        <v>0</v>
      </c>
      <c r="U92" s="139">
        <v>0</v>
      </c>
      <c r="V92" s="139">
        <v>0</v>
      </c>
      <c r="W92" s="139">
        <v>0</v>
      </c>
      <c r="X92" s="139">
        <v>0</v>
      </c>
      <c r="Y92" s="139">
        <v>0</v>
      </c>
      <c r="Z92" s="139">
        <v>0</v>
      </c>
      <c r="AA92" s="139">
        <v>16200</v>
      </c>
      <c r="AB92" s="139">
        <v>16200</v>
      </c>
      <c r="AC92" s="139">
        <v>16200</v>
      </c>
      <c r="AD92" s="139">
        <v>16200</v>
      </c>
      <c r="AE92" s="139">
        <v>16200</v>
      </c>
      <c r="AF92" s="139">
        <v>16200</v>
      </c>
      <c r="AG92" s="139">
        <v>16200</v>
      </c>
      <c r="AH92" s="139">
        <v>16200</v>
      </c>
      <c r="AI92" s="139">
        <v>16200</v>
      </c>
      <c r="AJ92" s="139">
        <v>16200</v>
      </c>
      <c r="AK92" s="139">
        <v>16200</v>
      </c>
      <c r="AL92" s="139">
        <v>16200</v>
      </c>
      <c r="AM92" s="139">
        <v>16200</v>
      </c>
      <c r="AN92" s="139">
        <v>16200</v>
      </c>
      <c r="AO92" s="139">
        <v>16200</v>
      </c>
      <c r="AP92" s="139">
        <v>16200</v>
      </c>
      <c r="AQ92" s="139">
        <v>16200</v>
      </c>
      <c r="AR92" s="139">
        <v>16200</v>
      </c>
      <c r="AS92" s="139">
        <v>28350</v>
      </c>
      <c r="AT92" s="139">
        <v>28350</v>
      </c>
      <c r="AU92" s="139">
        <v>28350</v>
      </c>
      <c r="AV92" s="140"/>
    </row>
    <row r="93" spans="2:48" ht="15.75" customHeight="1" x14ac:dyDescent="0.2">
      <c r="B93" s="136" t="s">
        <v>74</v>
      </c>
      <c r="C93" s="137">
        <v>0</v>
      </c>
      <c r="D93" s="138">
        <v>0</v>
      </c>
      <c r="E93" s="139">
        <v>0</v>
      </c>
      <c r="F93" s="139">
        <v>0</v>
      </c>
      <c r="G93" s="139">
        <v>0</v>
      </c>
      <c r="H93" s="139">
        <v>0</v>
      </c>
      <c r="I93" s="139">
        <v>0</v>
      </c>
      <c r="J93" s="139">
        <v>0</v>
      </c>
      <c r="K93" s="139">
        <v>0</v>
      </c>
      <c r="L93" s="139">
        <v>0</v>
      </c>
      <c r="M93" s="139">
        <v>0</v>
      </c>
      <c r="N93" s="139">
        <v>0</v>
      </c>
      <c r="O93" s="139">
        <v>0</v>
      </c>
      <c r="P93" s="139">
        <v>0</v>
      </c>
      <c r="Q93" s="139">
        <v>0</v>
      </c>
      <c r="R93" s="139">
        <v>0</v>
      </c>
      <c r="S93" s="139">
        <v>0</v>
      </c>
      <c r="T93" s="139">
        <v>0</v>
      </c>
      <c r="U93" s="139">
        <v>0</v>
      </c>
      <c r="V93" s="139">
        <v>0</v>
      </c>
      <c r="W93" s="139">
        <v>0</v>
      </c>
      <c r="X93" s="139">
        <v>0</v>
      </c>
      <c r="Y93" s="139">
        <v>0</v>
      </c>
      <c r="Z93" s="139">
        <v>0</v>
      </c>
      <c r="AA93" s="139">
        <v>6000</v>
      </c>
      <c r="AB93" s="139">
        <v>6000</v>
      </c>
      <c r="AC93" s="139">
        <v>6000</v>
      </c>
      <c r="AD93" s="139">
        <v>6000</v>
      </c>
      <c r="AE93" s="139">
        <v>6000</v>
      </c>
      <c r="AF93" s="139">
        <v>6000</v>
      </c>
      <c r="AG93" s="139">
        <v>6000</v>
      </c>
      <c r="AH93" s="139">
        <v>6000</v>
      </c>
      <c r="AI93" s="139">
        <v>6000</v>
      </c>
      <c r="AJ93" s="139">
        <v>6000</v>
      </c>
      <c r="AK93" s="139">
        <v>6000</v>
      </c>
      <c r="AL93" s="139">
        <v>6000</v>
      </c>
      <c r="AM93" s="139">
        <v>6000</v>
      </c>
      <c r="AN93" s="139">
        <v>6000</v>
      </c>
      <c r="AO93" s="139">
        <v>0</v>
      </c>
      <c r="AP93" s="139">
        <v>0</v>
      </c>
      <c r="AQ93" s="139">
        <v>0</v>
      </c>
      <c r="AR93" s="139">
        <v>0</v>
      </c>
      <c r="AS93" s="139">
        <v>0</v>
      </c>
      <c r="AT93" s="139">
        <v>0</v>
      </c>
      <c r="AU93" s="139">
        <v>0</v>
      </c>
      <c r="AV93" s="140"/>
    </row>
    <row r="94" spans="2:48" ht="15.75" customHeight="1" x14ac:dyDescent="0.2">
      <c r="B94" s="136" t="s">
        <v>75</v>
      </c>
      <c r="C94" s="137">
        <v>0</v>
      </c>
      <c r="D94" s="138">
        <v>0</v>
      </c>
      <c r="E94" s="139">
        <v>0</v>
      </c>
      <c r="F94" s="139">
        <v>0</v>
      </c>
      <c r="G94" s="139">
        <v>0</v>
      </c>
      <c r="H94" s="139">
        <v>0</v>
      </c>
      <c r="I94" s="139">
        <v>0</v>
      </c>
      <c r="J94" s="139">
        <v>0</v>
      </c>
      <c r="K94" s="139">
        <v>0</v>
      </c>
      <c r="L94" s="139">
        <v>0</v>
      </c>
      <c r="M94" s="139">
        <v>0</v>
      </c>
      <c r="N94" s="139">
        <v>0</v>
      </c>
      <c r="O94" s="139">
        <v>0</v>
      </c>
      <c r="P94" s="139">
        <v>0</v>
      </c>
      <c r="Q94" s="139">
        <v>0</v>
      </c>
      <c r="R94" s="139">
        <v>0</v>
      </c>
      <c r="S94" s="139">
        <v>0</v>
      </c>
      <c r="T94" s="139">
        <v>0</v>
      </c>
      <c r="U94" s="139">
        <v>0</v>
      </c>
      <c r="V94" s="139">
        <v>0</v>
      </c>
      <c r="W94" s="139">
        <v>0</v>
      </c>
      <c r="X94" s="139">
        <v>0</v>
      </c>
      <c r="Y94" s="139">
        <v>0</v>
      </c>
      <c r="Z94" s="139">
        <v>0</v>
      </c>
      <c r="AA94" s="139">
        <v>7200</v>
      </c>
      <c r="AB94" s="139">
        <v>7200</v>
      </c>
      <c r="AC94" s="139">
        <v>7200</v>
      </c>
      <c r="AD94" s="139">
        <v>7200</v>
      </c>
      <c r="AE94" s="139">
        <v>7200</v>
      </c>
      <c r="AF94" s="139">
        <v>7200</v>
      </c>
      <c r="AG94" s="139">
        <v>7200</v>
      </c>
      <c r="AH94" s="139">
        <v>7200</v>
      </c>
      <c r="AI94" s="139">
        <v>7200</v>
      </c>
      <c r="AJ94" s="139">
        <v>7200</v>
      </c>
      <c r="AK94" s="139">
        <v>7200</v>
      </c>
      <c r="AL94" s="139">
        <v>7200</v>
      </c>
      <c r="AM94" s="139">
        <v>0</v>
      </c>
      <c r="AN94" s="139">
        <v>0</v>
      </c>
      <c r="AO94" s="139">
        <v>0</v>
      </c>
      <c r="AP94" s="139">
        <v>0</v>
      </c>
      <c r="AQ94" s="139">
        <v>0</v>
      </c>
      <c r="AR94" s="139">
        <v>0</v>
      </c>
      <c r="AS94" s="139">
        <v>0</v>
      </c>
      <c r="AT94" s="139">
        <v>0</v>
      </c>
      <c r="AU94" s="139">
        <v>0</v>
      </c>
      <c r="AV94" s="140"/>
    </row>
    <row r="95" spans="2:48" ht="15.75" customHeight="1" x14ac:dyDescent="0.2">
      <c r="B95" s="136" t="s">
        <v>76</v>
      </c>
      <c r="C95" s="137">
        <v>0</v>
      </c>
      <c r="D95" s="138">
        <v>0</v>
      </c>
      <c r="E95" s="139">
        <v>0</v>
      </c>
      <c r="F95" s="139">
        <v>0</v>
      </c>
      <c r="G95" s="139">
        <v>0</v>
      </c>
      <c r="H95" s="139">
        <v>0</v>
      </c>
      <c r="I95" s="139">
        <v>0</v>
      </c>
      <c r="J95" s="139">
        <v>0</v>
      </c>
      <c r="K95" s="139">
        <v>0</v>
      </c>
      <c r="L95" s="139">
        <v>0</v>
      </c>
      <c r="M95" s="139">
        <v>0</v>
      </c>
      <c r="N95" s="139">
        <v>0</v>
      </c>
      <c r="O95" s="139">
        <v>0</v>
      </c>
      <c r="P95" s="139">
        <v>0</v>
      </c>
      <c r="Q95" s="139">
        <v>0</v>
      </c>
      <c r="R95" s="139">
        <v>0</v>
      </c>
      <c r="S95" s="139">
        <v>0</v>
      </c>
      <c r="T95" s="139">
        <v>0</v>
      </c>
      <c r="U95" s="139">
        <v>0</v>
      </c>
      <c r="V95" s="139">
        <v>0</v>
      </c>
      <c r="W95" s="139">
        <v>0</v>
      </c>
      <c r="X95" s="139">
        <v>0</v>
      </c>
      <c r="Y95" s="139">
        <v>0</v>
      </c>
      <c r="Z95" s="139">
        <v>0</v>
      </c>
      <c r="AA95" s="139">
        <v>0</v>
      </c>
      <c r="AB95" s="139">
        <v>22800</v>
      </c>
      <c r="AC95" s="139">
        <v>22800</v>
      </c>
      <c r="AD95" s="139">
        <v>22800</v>
      </c>
      <c r="AE95" s="139">
        <v>22800</v>
      </c>
      <c r="AF95" s="139">
        <v>22800</v>
      </c>
      <c r="AG95" s="139">
        <v>22800</v>
      </c>
      <c r="AH95" s="139">
        <v>22800</v>
      </c>
      <c r="AI95" s="139">
        <v>22800</v>
      </c>
      <c r="AJ95" s="139">
        <v>22800</v>
      </c>
      <c r="AK95" s="139">
        <v>22800</v>
      </c>
      <c r="AL95" s="139">
        <v>22800</v>
      </c>
      <c r="AM95" s="139">
        <v>22800</v>
      </c>
      <c r="AN95" s="139">
        <v>40824</v>
      </c>
      <c r="AO95" s="139">
        <v>40824</v>
      </c>
      <c r="AP95" s="139">
        <v>40824</v>
      </c>
      <c r="AQ95" s="139">
        <v>40824</v>
      </c>
      <c r="AR95" s="139">
        <v>40824</v>
      </c>
      <c r="AS95" s="139">
        <v>40824</v>
      </c>
      <c r="AT95" s="139">
        <v>40824</v>
      </c>
      <c r="AU95" s="139">
        <v>40824</v>
      </c>
      <c r="AV95" s="140"/>
    </row>
    <row r="96" spans="2:48" ht="15.75" customHeight="1" x14ac:dyDescent="0.2">
      <c r="B96" s="136" t="s">
        <v>77</v>
      </c>
      <c r="C96" s="137">
        <v>0</v>
      </c>
      <c r="D96" s="138">
        <v>0</v>
      </c>
      <c r="E96" s="139">
        <v>0</v>
      </c>
      <c r="F96" s="139">
        <v>0</v>
      </c>
      <c r="G96" s="139">
        <v>0</v>
      </c>
      <c r="H96" s="139">
        <v>0</v>
      </c>
      <c r="I96" s="139">
        <v>0</v>
      </c>
      <c r="J96" s="139">
        <v>0</v>
      </c>
      <c r="K96" s="139">
        <v>0</v>
      </c>
      <c r="L96" s="139">
        <v>0</v>
      </c>
      <c r="M96" s="139">
        <v>0</v>
      </c>
      <c r="N96" s="139">
        <v>0</v>
      </c>
      <c r="O96" s="139">
        <v>0</v>
      </c>
      <c r="P96" s="139">
        <v>0</v>
      </c>
      <c r="Q96" s="139">
        <v>0</v>
      </c>
      <c r="R96" s="139">
        <v>0</v>
      </c>
      <c r="S96" s="139">
        <v>0</v>
      </c>
      <c r="T96" s="139">
        <v>0</v>
      </c>
      <c r="U96" s="139">
        <v>0</v>
      </c>
      <c r="V96" s="139">
        <v>0</v>
      </c>
      <c r="W96" s="139">
        <v>0</v>
      </c>
      <c r="X96" s="139">
        <v>0</v>
      </c>
      <c r="Y96" s="139">
        <v>0</v>
      </c>
      <c r="Z96" s="139">
        <v>0</v>
      </c>
      <c r="AA96" s="139">
        <v>0</v>
      </c>
      <c r="AB96" s="139">
        <v>42000</v>
      </c>
      <c r="AC96" s="139">
        <v>42000</v>
      </c>
      <c r="AD96" s="139">
        <v>42000</v>
      </c>
      <c r="AE96" s="139">
        <v>42000</v>
      </c>
      <c r="AF96" s="139">
        <v>42000</v>
      </c>
      <c r="AG96" s="139">
        <v>42000</v>
      </c>
      <c r="AH96" s="139">
        <v>42000</v>
      </c>
      <c r="AI96" s="139">
        <v>42000</v>
      </c>
      <c r="AJ96" s="139">
        <v>42000</v>
      </c>
      <c r="AK96" s="139">
        <v>42000</v>
      </c>
      <c r="AL96" s="139">
        <v>42000</v>
      </c>
      <c r="AM96" s="139">
        <v>42000</v>
      </c>
      <c r="AN96" s="139">
        <v>63060</v>
      </c>
      <c r="AO96" s="139">
        <v>63060</v>
      </c>
      <c r="AP96" s="139">
        <v>63060</v>
      </c>
      <c r="AQ96" s="139">
        <v>63060</v>
      </c>
      <c r="AR96" s="139">
        <v>63060</v>
      </c>
      <c r="AS96" s="139">
        <v>63060</v>
      </c>
      <c r="AT96" s="139">
        <v>63060</v>
      </c>
      <c r="AU96" s="139">
        <v>63060</v>
      </c>
      <c r="AV96" s="140"/>
    </row>
    <row r="97" spans="2:48" ht="15.75" customHeight="1" x14ac:dyDescent="0.2">
      <c r="B97" s="136" t="s">
        <v>78</v>
      </c>
      <c r="C97" s="137">
        <v>0</v>
      </c>
      <c r="D97" s="138">
        <v>0</v>
      </c>
      <c r="E97" s="139">
        <v>0</v>
      </c>
      <c r="F97" s="139">
        <v>0</v>
      </c>
      <c r="G97" s="139">
        <v>0</v>
      </c>
      <c r="H97" s="139">
        <v>0</v>
      </c>
      <c r="I97" s="139">
        <v>0</v>
      </c>
      <c r="J97" s="139">
        <v>0</v>
      </c>
      <c r="K97" s="139">
        <v>0</v>
      </c>
      <c r="L97" s="139">
        <v>0</v>
      </c>
      <c r="M97" s="139">
        <v>0</v>
      </c>
      <c r="N97" s="139">
        <v>0</v>
      </c>
      <c r="O97" s="139">
        <v>0</v>
      </c>
      <c r="P97" s="139">
        <v>0</v>
      </c>
      <c r="Q97" s="139">
        <v>0</v>
      </c>
      <c r="R97" s="139">
        <v>0</v>
      </c>
      <c r="S97" s="139">
        <v>0</v>
      </c>
      <c r="T97" s="139">
        <v>0</v>
      </c>
      <c r="U97" s="139">
        <v>0</v>
      </c>
      <c r="V97" s="139">
        <v>0</v>
      </c>
      <c r="W97" s="139">
        <v>0</v>
      </c>
      <c r="X97" s="139">
        <v>0</v>
      </c>
      <c r="Y97" s="139">
        <v>0</v>
      </c>
      <c r="Z97" s="139">
        <v>0</v>
      </c>
      <c r="AA97" s="139">
        <v>0</v>
      </c>
      <c r="AB97" s="139">
        <v>8832</v>
      </c>
      <c r="AC97" s="139">
        <v>8832</v>
      </c>
      <c r="AD97" s="139">
        <v>8832</v>
      </c>
      <c r="AE97" s="139">
        <v>8832</v>
      </c>
      <c r="AF97" s="139">
        <v>8832</v>
      </c>
      <c r="AG97" s="139">
        <v>8832</v>
      </c>
      <c r="AH97" s="139">
        <v>8832</v>
      </c>
      <c r="AI97" s="139">
        <v>8832</v>
      </c>
      <c r="AJ97" s="139">
        <v>8832</v>
      </c>
      <c r="AK97" s="139">
        <v>8832</v>
      </c>
      <c r="AL97" s="139">
        <v>8832</v>
      </c>
      <c r="AM97" s="139">
        <v>8832</v>
      </c>
      <c r="AN97" s="139">
        <v>8832</v>
      </c>
      <c r="AO97" s="139">
        <v>0</v>
      </c>
      <c r="AP97" s="139">
        <v>0</v>
      </c>
      <c r="AQ97" s="139">
        <v>0</v>
      </c>
      <c r="AR97" s="139">
        <v>0</v>
      </c>
      <c r="AS97" s="139">
        <v>0</v>
      </c>
      <c r="AT97" s="139">
        <v>0</v>
      </c>
      <c r="AU97" s="139">
        <v>0</v>
      </c>
      <c r="AV97" s="140"/>
    </row>
    <row r="98" spans="2:48" ht="15.75" customHeight="1" x14ac:dyDescent="0.2">
      <c r="B98" s="136" t="s">
        <v>79</v>
      </c>
      <c r="C98" s="137">
        <v>0</v>
      </c>
      <c r="D98" s="138">
        <v>0</v>
      </c>
      <c r="E98" s="139">
        <v>0</v>
      </c>
      <c r="F98" s="139">
        <v>0</v>
      </c>
      <c r="G98" s="139">
        <v>0</v>
      </c>
      <c r="H98" s="139">
        <v>0</v>
      </c>
      <c r="I98" s="139">
        <v>0</v>
      </c>
      <c r="J98" s="139">
        <v>0</v>
      </c>
      <c r="K98" s="139">
        <v>0</v>
      </c>
      <c r="L98" s="139">
        <v>0</v>
      </c>
      <c r="M98" s="139">
        <v>0</v>
      </c>
      <c r="N98" s="139">
        <v>0</v>
      </c>
      <c r="O98" s="139">
        <v>0</v>
      </c>
      <c r="P98" s="139">
        <v>0</v>
      </c>
      <c r="Q98" s="139">
        <v>0</v>
      </c>
      <c r="R98" s="139">
        <v>0</v>
      </c>
      <c r="S98" s="139">
        <v>0</v>
      </c>
      <c r="T98" s="139">
        <v>0</v>
      </c>
      <c r="U98" s="139">
        <v>0</v>
      </c>
      <c r="V98" s="139">
        <v>0</v>
      </c>
      <c r="W98" s="139">
        <v>0</v>
      </c>
      <c r="X98" s="139">
        <v>0</v>
      </c>
      <c r="Y98" s="139">
        <v>0</v>
      </c>
      <c r="Z98" s="139">
        <v>0</v>
      </c>
      <c r="AA98" s="139">
        <v>0</v>
      </c>
      <c r="AB98" s="139">
        <v>34998</v>
      </c>
      <c r="AC98" s="139">
        <v>34998</v>
      </c>
      <c r="AD98" s="139">
        <v>34998</v>
      </c>
      <c r="AE98" s="139">
        <v>34998</v>
      </c>
      <c r="AF98" s="139">
        <v>34998</v>
      </c>
      <c r="AG98" s="139">
        <v>34998</v>
      </c>
      <c r="AH98" s="139">
        <v>34998</v>
      </c>
      <c r="AI98" s="139">
        <v>34998</v>
      </c>
      <c r="AJ98" s="139">
        <v>34998</v>
      </c>
      <c r="AK98" s="139">
        <v>34998</v>
      </c>
      <c r="AL98" s="139">
        <v>34998</v>
      </c>
      <c r="AM98" s="139">
        <v>34998</v>
      </c>
      <c r="AN98" s="139">
        <v>48113</v>
      </c>
      <c r="AO98" s="139">
        <v>48113</v>
      </c>
      <c r="AP98" s="139">
        <v>48113</v>
      </c>
      <c r="AQ98" s="139">
        <v>48113</v>
      </c>
      <c r="AR98" s="139">
        <v>48113</v>
      </c>
      <c r="AS98" s="139">
        <v>48113</v>
      </c>
      <c r="AT98" s="139">
        <v>0</v>
      </c>
      <c r="AU98" s="139">
        <v>0</v>
      </c>
      <c r="AV98" s="140"/>
    </row>
    <row r="99" spans="2:48" ht="15.75" customHeight="1" x14ac:dyDescent="0.2">
      <c r="B99" s="136" t="s">
        <v>80</v>
      </c>
      <c r="C99" s="137">
        <v>0</v>
      </c>
      <c r="D99" s="138">
        <v>0</v>
      </c>
      <c r="E99" s="139">
        <v>0</v>
      </c>
      <c r="F99" s="139">
        <v>0</v>
      </c>
      <c r="G99" s="139">
        <v>0</v>
      </c>
      <c r="H99" s="139">
        <v>0</v>
      </c>
      <c r="I99" s="139">
        <v>0</v>
      </c>
      <c r="J99" s="139">
        <v>0</v>
      </c>
      <c r="K99" s="139">
        <v>0</v>
      </c>
      <c r="L99" s="139">
        <v>0</v>
      </c>
      <c r="M99" s="139">
        <v>0</v>
      </c>
      <c r="N99" s="139">
        <v>0</v>
      </c>
      <c r="O99" s="139">
        <v>0</v>
      </c>
      <c r="P99" s="139">
        <v>0</v>
      </c>
      <c r="Q99" s="139">
        <v>0</v>
      </c>
      <c r="R99" s="139">
        <v>0</v>
      </c>
      <c r="S99" s="139">
        <v>0</v>
      </c>
      <c r="T99" s="139">
        <v>0</v>
      </c>
      <c r="U99" s="139">
        <v>0</v>
      </c>
      <c r="V99" s="139">
        <v>0</v>
      </c>
      <c r="W99" s="139">
        <v>0</v>
      </c>
      <c r="X99" s="139">
        <v>0</v>
      </c>
      <c r="Y99" s="139">
        <v>0</v>
      </c>
      <c r="Z99" s="139">
        <v>0</v>
      </c>
      <c r="AA99" s="139">
        <v>0</v>
      </c>
      <c r="AB99" s="139">
        <v>6480</v>
      </c>
      <c r="AC99" s="139">
        <v>6480</v>
      </c>
      <c r="AD99" s="139">
        <v>6480</v>
      </c>
      <c r="AE99" s="139">
        <v>6480</v>
      </c>
      <c r="AF99" s="139">
        <v>6480</v>
      </c>
      <c r="AG99" s="139">
        <v>6480</v>
      </c>
      <c r="AH99" s="139">
        <v>6480</v>
      </c>
      <c r="AI99" s="139">
        <v>6480</v>
      </c>
      <c r="AJ99" s="139">
        <v>6480</v>
      </c>
      <c r="AK99" s="139">
        <v>6480</v>
      </c>
      <c r="AL99" s="139">
        <v>6480</v>
      </c>
      <c r="AM99" s="139">
        <v>6480</v>
      </c>
      <c r="AN99" s="139">
        <v>0</v>
      </c>
      <c r="AO99" s="139">
        <v>0</v>
      </c>
      <c r="AP99" s="139">
        <v>0</v>
      </c>
      <c r="AQ99" s="139">
        <v>0</v>
      </c>
      <c r="AR99" s="139">
        <v>0</v>
      </c>
      <c r="AS99" s="139">
        <v>0</v>
      </c>
      <c r="AT99" s="139">
        <v>0</v>
      </c>
      <c r="AU99" s="139">
        <v>0</v>
      </c>
      <c r="AV99" s="140"/>
    </row>
    <row r="100" spans="2:48" ht="15.75" customHeight="1" x14ac:dyDescent="0.2">
      <c r="B100" s="136" t="s">
        <v>81</v>
      </c>
      <c r="C100" s="137">
        <v>0</v>
      </c>
      <c r="D100" s="138">
        <v>0</v>
      </c>
      <c r="E100" s="139">
        <v>0</v>
      </c>
      <c r="F100" s="139">
        <v>0</v>
      </c>
      <c r="G100" s="139">
        <v>0</v>
      </c>
      <c r="H100" s="139">
        <v>0</v>
      </c>
      <c r="I100" s="139">
        <v>0</v>
      </c>
      <c r="J100" s="139">
        <v>0</v>
      </c>
      <c r="K100" s="139">
        <v>0</v>
      </c>
      <c r="L100" s="139">
        <v>0</v>
      </c>
      <c r="M100" s="139">
        <v>0</v>
      </c>
      <c r="N100" s="139">
        <v>0</v>
      </c>
      <c r="O100" s="139">
        <v>0</v>
      </c>
      <c r="P100" s="139">
        <v>0</v>
      </c>
      <c r="Q100" s="139">
        <v>0</v>
      </c>
      <c r="R100" s="139">
        <v>0</v>
      </c>
      <c r="S100" s="139">
        <v>0</v>
      </c>
      <c r="T100" s="139">
        <v>0</v>
      </c>
      <c r="U100" s="139">
        <v>0</v>
      </c>
      <c r="V100" s="139">
        <v>0</v>
      </c>
      <c r="W100" s="139">
        <v>0</v>
      </c>
      <c r="X100" s="139">
        <v>0</v>
      </c>
      <c r="Y100" s="139">
        <v>0</v>
      </c>
      <c r="Z100" s="139">
        <v>0</v>
      </c>
      <c r="AA100" s="139">
        <v>0</v>
      </c>
      <c r="AB100" s="139">
        <v>10080</v>
      </c>
      <c r="AC100" s="139">
        <v>10080</v>
      </c>
      <c r="AD100" s="139">
        <v>10080</v>
      </c>
      <c r="AE100" s="139">
        <v>10080</v>
      </c>
      <c r="AF100" s="139">
        <v>10080</v>
      </c>
      <c r="AG100" s="139">
        <v>10080</v>
      </c>
      <c r="AH100" s="139">
        <v>10080</v>
      </c>
      <c r="AI100" s="139">
        <v>10080</v>
      </c>
      <c r="AJ100" s="139">
        <v>10080</v>
      </c>
      <c r="AK100" s="139">
        <v>10080</v>
      </c>
      <c r="AL100" s="139">
        <v>10080</v>
      </c>
      <c r="AM100" s="139">
        <v>10080</v>
      </c>
      <c r="AN100" s="139">
        <v>10080</v>
      </c>
      <c r="AO100" s="139">
        <v>10080</v>
      </c>
      <c r="AP100" s="139">
        <v>10080</v>
      </c>
      <c r="AQ100" s="139">
        <v>10080</v>
      </c>
      <c r="AR100" s="139">
        <v>10080</v>
      </c>
      <c r="AS100" s="139">
        <v>10080</v>
      </c>
      <c r="AT100" s="139">
        <v>10080</v>
      </c>
      <c r="AU100" s="139">
        <v>10080</v>
      </c>
      <c r="AV100" s="140"/>
    </row>
    <row r="101" spans="2:48" ht="15.75" customHeight="1" x14ac:dyDescent="0.2">
      <c r="B101" s="136" t="s">
        <v>82</v>
      </c>
      <c r="C101" s="137">
        <v>0</v>
      </c>
      <c r="D101" s="138">
        <v>0</v>
      </c>
      <c r="E101" s="139">
        <v>0</v>
      </c>
      <c r="F101" s="139">
        <v>0</v>
      </c>
      <c r="G101" s="139">
        <v>0</v>
      </c>
      <c r="H101" s="139">
        <v>0</v>
      </c>
      <c r="I101" s="139">
        <v>0</v>
      </c>
      <c r="J101" s="139">
        <v>0</v>
      </c>
      <c r="K101" s="139">
        <v>0</v>
      </c>
      <c r="L101" s="139">
        <v>0</v>
      </c>
      <c r="M101" s="139">
        <v>0</v>
      </c>
      <c r="N101" s="139">
        <v>0</v>
      </c>
      <c r="O101" s="139">
        <v>0</v>
      </c>
      <c r="P101" s="139">
        <v>0</v>
      </c>
      <c r="Q101" s="139">
        <v>0</v>
      </c>
      <c r="R101" s="139">
        <v>0</v>
      </c>
      <c r="S101" s="139">
        <v>0</v>
      </c>
      <c r="T101" s="139">
        <v>0</v>
      </c>
      <c r="U101" s="139">
        <v>0</v>
      </c>
      <c r="V101" s="139">
        <v>0</v>
      </c>
      <c r="W101" s="139">
        <v>0</v>
      </c>
      <c r="X101" s="139">
        <v>0</v>
      </c>
      <c r="Y101" s="139">
        <v>0</v>
      </c>
      <c r="Z101" s="139">
        <v>0</v>
      </c>
      <c r="AA101" s="139">
        <v>0</v>
      </c>
      <c r="AB101" s="139">
        <v>28800</v>
      </c>
      <c r="AC101" s="139">
        <v>28800</v>
      </c>
      <c r="AD101" s="139">
        <v>28800</v>
      </c>
      <c r="AE101" s="139">
        <v>33469</v>
      </c>
      <c r="AF101" s="139">
        <v>33469</v>
      </c>
      <c r="AG101" s="139">
        <v>33469</v>
      </c>
      <c r="AH101" s="139">
        <v>33469</v>
      </c>
      <c r="AI101" s="139">
        <v>38448</v>
      </c>
      <c r="AJ101" s="139">
        <v>38448</v>
      </c>
      <c r="AK101" s="139">
        <v>38448</v>
      </c>
      <c r="AL101" s="139">
        <v>38448</v>
      </c>
      <c r="AM101" s="139">
        <v>38448</v>
      </c>
      <c r="AN101" s="139">
        <v>38448</v>
      </c>
      <c r="AO101" s="139">
        <v>37800</v>
      </c>
      <c r="AP101" s="139">
        <v>37800</v>
      </c>
      <c r="AQ101" s="139">
        <v>37800</v>
      </c>
      <c r="AR101" s="139">
        <v>37800</v>
      </c>
      <c r="AS101" s="139">
        <v>37800</v>
      </c>
      <c r="AT101" s="139">
        <v>37800</v>
      </c>
      <c r="AU101" s="139">
        <v>37800</v>
      </c>
      <c r="AV101" s="140"/>
    </row>
    <row r="102" spans="2:48" ht="15.75" customHeight="1" x14ac:dyDescent="0.2">
      <c r="B102" s="136" t="s">
        <v>83</v>
      </c>
      <c r="C102" s="137">
        <v>0</v>
      </c>
      <c r="D102" s="138">
        <v>0</v>
      </c>
      <c r="E102" s="139">
        <v>0</v>
      </c>
      <c r="F102" s="139">
        <v>0</v>
      </c>
      <c r="G102" s="139">
        <v>0</v>
      </c>
      <c r="H102" s="139">
        <v>0</v>
      </c>
      <c r="I102" s="139">
        <v>0</v>
      </c>
      <c r="J102" s="139">
        <v>0</v>
      </c>
      <c r="K102" s="139">
        <v>0</v>
      </c>
      <c r="L102" s="139">
        <v>0</v>
      </c>
      <c r="M102" s="139">
        <v>0</v>
      </c>
      <c r="N102" s="139">
        <v>0</v>
      </c>
      <c r="O102" s="139">
        <v>0</v>
      </c>
      <c r="P102" s="139">
        <v>0</v>
      </c>
      <c r="Q102" s="139">
        <v>0</v>
      </c>
      <c r="R102" s="139">
        <v>0</v>
      </c>
      <c r="S102" s="139">
        <v>0</v>
      </c>
      <c r="T102" s="139">
        <v>0</v>
      </c>
      <c r="U102" s="139">
        <v>0</v>
      </c>
      <c r="V102" s="139">
        <v>0</v>
      </c>
      <c r="W102" s="139">
        <v>0</v>
      </c>
      <c r="X102" s="139">
        <v>0</v>
      </c>
      <c r="Y102" s="139">
        <v>0</v>
      </c>
      <c r="Z102" s="139">
        <v>0</v>
      </c>
      <c r="AA102" s="139">
        <v>0</v>
      </c>
      <c r="AB102" s="139">
        <v>7680</v>
      </c>
      <c r="AC102" s="139">
        <v>7680</v>
      </c>
      <c r="AD102" s="139">
        <v>7680</v>
      </c>
      <c r="AE102" s="139">
        <v>7680</v>
      </c>
      <c r="AF102" s="139">
        <v>7680</v>
      </c>
      <c r="AG102" s="139">
        <v>7680</v>
      </c>
      <c r="AH102" s="139">
        <v>7680</v>
      </c>
      <c r="AI102" s="139">
        <v>7680</v>
      </c>
      <c r="AJ102" s="139">
        <v>7680</v>
      </c>
      <c r="AK102" s="139">
        <v>7680</v>
      </c>
      <c r="AL102" s="139">
        <v>7680</v>
      </c>
      <c r="AM102" s="139">
        <v>7680</v>
      </c>
      <c r="AN102" s="139">
        <v>3822</v>
      </c>
      <c r="AO102" s="139">
        <v>3822</v>
      </c>
      <c r="AP102" s="139">
        <v>3822</v>
      </c>
      <c r="AQ102" s="139">
        <v>3822</v>
      </c>
      <c r="AR102" s="139">
        <v>3822</v>
      </c>
      <c r="AS102" s="139">
        <v>3822</v>
      </c>
      <c r="AT102" s="139">
        <v>3822</v>
      </c>
      <c r="AU102" s="139">
        <v>3822</v>
      </c>
      <c r="AV102" s="140"/>
    </row>
    <row r="103" spans="2:48" ht="15.75" customHeight="1" x14ac:dyDescent="0.2">
      <c r="B103" s="136" t="s">
        <v>84</v>
      </c>
      <c r="C103" s="137">
        <v>0</v>
      </c>
      <c r="D103" s="138">
        <v>0</v>
      </c>
      <c r="E103" s="139">
        <v>0</v>
      </c>
      <c r="F103" s="139">
        <v>0</v>
      </c>
      <c r="G103" s="139">
        <v>0</v>
      </c>
      <c r="H103" s="139">
        <v>0</v>
      </c>
      <c r="I103" s="139">
        <v>0</v>
      </c>
      <c r="J103" s="139">
        <v>0</v>
      </c>
      <c r="K103" s="139">
        <v>0</v>
      </c>
      <c r="L103" s="139">
        <v>0</v>
      </c>
      <c r="M103" s="139">
        <v>0</v>
      </c>
      <c r="N103" s="139">
        <v>0</v>
      </c>
      <c r="O103" s="139">
        <v>0</v>
      </c>
      <c r="P103" s="139">
        <v>0</v>
      </c>
      <c r="Q103" s="139">
        <v>0</v>
      </c>
      <c r="R103" s="139">
        <v>0</v>
      </c>
      <c r="S103" s="139">
        <v>0</v>
      </c>
      <c r="T103" s="139">
        <v>0</v>
      </c>
      <c r="U103" s="139">
        <v>0</v>
      </c>
      <c r="V103" s="139">
        <v>0</v>
      </c>
      <c r="W103" s="139">
        <v>0</v>
      </c>
      <c r="X103" s="139">
        <v>0</v>
      </c>
      <c r="Y103" s="139">
        <v>0</v>
      </c>
      <c r="Z103" s="139">
        <v>0</v>
      </c>
      <c r="AA103" s="139">
        <v>0</v>
      </c>
      <c r="AB103" s="139">
        <v>56160</v>
      </c>
      <c r="AC103" s="139">
        <v>56160</v>
      </c>
      <c r="AD103" s="139">
        <v>56160</v>
      </c>
      <c r="AE103" s="139">
        <v>56160</v>
      </c>
      <c r="AF103" s="139">
        <v>56160</v>
      </c>
      <c r="AG103" s="139">
        <v>56160</v>
      </c>
      <c r="AH103" s="139">
        <v>56160</v>
      </c>
      <c r="AI103" s="139">
        <v>56160</v>
      </c>
      <c r="AJ103" s="139">
        <v>56160</v>
      </c>
      <c r="AK103" s="139">
        <v>56160</v>
      </c>
      <c r="AL103" s="139">
        <v>56160</v>
      </c>
      <c r="AM103" s="139">
        <v>56160</v>
      </c>
      <c r="AN103" s="139">
        <v>94964</v>
      </c>
      <c r="AO103" s="139">
        <v>94964</v>
      </c>
      <c r="AP103" s="139">
        <v>94964</v>
      </c>
      <c r="AQ103" s="139">
        <v>94964</v>
      </c>
      <c r="AR103" s="139">
        <v>94964</v>
      </c>
      <c r="AS103" s="139">
        <v>94964</v>
      </c>
      <c r="AT103" s="139">
        <v>94964</v>
      </c>
      <c r="AU103" s="139">
        <v>94964</v>
      </c>
      <c r="AV103" s="140"/>
    </row>
    <row r="104" spans="2:48" ht="15.75" customHeight="1" x14ac:dyDescent="0.2">
      <c r="B104" s="136" t="s">
        <v>85</v>
      </c>
      <c r="C104" s="137">
        <v>0</v>
      </c>
      <c r="D104" s="138">
        <v>0</v>
      </c>
      <c r="E104" s="139">
        <v>0</v>
      </c>
      <c r="F104" s="139">
        <v>0</v>
      </c>
      <c r="G104" s="139">
        <v>0</v>
      </c>
      <c r="H104" s="139">
        <v>0</v>
      </c>
      <c r="I104" s="139">
        <v>0</v>
      </c>
      <c r="J104" s="139">
        <v>0</v>
      </c>
      <c r="K104" s="139">
        <v>0</v>
      </c>
      <c r="L104" s="139">
        <v>0</v>
      </c>
      <c r="M104" s="139">
        <v>0</v>
      </c>
      <c r="N104" s="139">
        <v>0</v>
      </c>
      <c r="O104" s="139">
        <v>0</v>
      </c>
      <c r="P104" s="139">
        <v>0</v>
      </c>
      <c r="Q104" s="139">
        <v>0</v>
      </c>
      <c r="R104" s="139">
        <v>0</v>
      </c>
      <c r="S104" s="139">
        <v>0</v>
      </c>
      <c r="T104" s="139">
        <v>0</v>
      </c>
      <c r="U104" s="139">
        <v>0</v>
      </c>
      <c r="V104" s="139">
        <v>0</v>
      </c>
      <c r="W104" s="139">
        <v>0</v>
      </c>
      <c r="X104" s="139">
        <v>0</v>
      </c>
      <c r="Y104" s="139">
        <v>0</v>
      </c>
      <c r="Z104" s="139">
        <v>0</v>
      </c>
      <c r="AA104" s="139">
        <v>0</v>
      </c>
      <c r="AB104" s="139">
        <v>7440</v>
      </c>
      <c r="AC104" s="139">
        <v>7440</v>
      </c>
      <c r="AD104" s="139">
        <v>7440</v>
      </c>
      <c r="AE104" s="139">
        <v>7440</v>
      </c>
      <c r="AF104" s="139">
        <v>7440</v>
      </c>
      <c r="AG104" s="139">
        <v>7440</v>
      </c>
      <c r="AH104" s="139">
        <v>7440</v>
      </c>
      <c r="AI104" s="139">
        <v>7440</v>
      </c>
      <c r="AJ104" s="139">
        <v>7440</v>
      </c>
      <c r="AK104" s="139">
        <v>7440</v>
      </c>
      <c r="AL104" s="139">
        <v>7440</v>
      </c>
      <c r="AM104" s="139">
        <v>7440</v>
      </c>
      <c r="AN104" s="139">
        <v>29664</v>
      </c>
      <c r="AO104" s="139">
        <v>29664</v>
      </c>
      <c r="AP104" s="139">
        <v>29664</v>
      </c>
      <c r="AQ104" s="139">
        <v>29664</v>
      </c>
      <c r="AR104" s="139">
        <v>29664</v>
      </c>
      <c r="AS104" s="139">
        <v>29664</v>
      </c>
      <c r="AT104" s="139">
        <v>0</v>
      </c>
      <c r="AU104" s="139">
        <v>0</v>
      </c>
      <c r="AV104" s="140"/>
    </row>
    <row r="105" spans="2:48" ht="15.75" customHeight="1" x14ac:dyDescent="0.2">
      <c r="B105" s="136" t="s">
        <v>86</v>
      </c>
      <c r="C105" s="137">
        <v>0</v>
      </c>
      <c r="D105" s="138">
        <v>0</v>
      </c>
      <c r="E105" s="139">
        <v>0</v>
      </c>
      <c r="F105" s="139">
        <v>0</v>
      </c>
      <c r="G105" s="139">
        <v>0</v>
      </c>
      <c r="H105" s="139">
        <v>0</v>
      </c>
      <c r="I105" s="139">
        <v>0</v>
      </c>
      <c r="J105" s="139">
        <v>0</v>
      </c>
      <c r="K105" s="139">
        <v>0</v>
      </c>
      <c r="L105" s="139">
        <v>0</v>
      </c>
      <c r="M105" s="139">
        <v>0</v>
      </c>
      <c r="N105" s="139">
        <v>0</v>
      </c>
      <c r="O105" s="139">
        <v>0</v>
      </c>
      <c r="P105" s="139">
        <v>0</v>
      </c>
      <c r="Q105" s="139">
        <v>0</v>
      </c>
      <c r="R105" s="139">
        <v>0</v>
      </c>
      <c r="S105" s="139">
        <v>0</v>
      </c>
      <c r="T105" s="139">
        <v>0</v>
      </c>
      <c r="U105" s="139">
        <v>0</v>
      </c>
      <c r="V105" s="139">
        <v>0</v>
      </c>
      <c r="W105" s="139">
        <v>0</v>
      </c>
      <c r="X105" s="139">
        <v>0</v>
      </c>
      <c r="Y105" s="139">
        <v>0</v>
      </c>
      <c r="Z105" s="139">
        <v>0</v>
      </c>
      <c r="AA105" s="139">
        <v>0</v>
      </c>
      <c r="AB105" s="139">
        <v>20250</v>
      </c>
      <c r="AC105" s="139">
        <v>20250</v>
      </c>
      <c r="AD105" s="139">
        <v>20250</v>
      </c>
      <c r="AE105" s="139">
        <v>20250</v>
      </c>
      <c r="AF105" s="139">
        <v>20250</v>
      </c>
      <c r="AG105" s="139">
        <v>20250</v>
      </c>
      <c r="AH105" s="139">
        <v>20250</v>
      </c>
      <c r="AI105" s="139">
        <v>20250</v>
      </c>
      <c r="AJ105" s="139">
        <v>20250</v>
      </c>
      <c r="AK105" s="139">
        <v>20250</v>
      </c>
      <c r="AL105" s="139">
        <v>20250</v>
      </c>
      <c r="AM105" s="139">
        <v>20250</v>
      </c>
      <c r="AN105" s="139">
        <v>20250</v>
      </c>
      <c r="AO105" s="139">
        <v>0</v>
      </c>
      <c r="AP105" s="139">
        <v>0</v>
      </c>
      <c r="AQ105" s="139">
        <v>0</v>
      </c>
      <c r="AR105" s="139">
        <v>0</v>
      </c>
      <c r="AS105" s="139">
        <v>0</v>
      </c>
      <c r="AT105" s="139">
        <v>0</v>
      </c>
      <c r="AU105" s="139">
        <v>0</v>
      </c>
      <c r="AV105" s="140"/>
    </row>
    <row r="106" spans="2:48" ht="15.75" customHeight="1" x14ac:dyDescent="0.2">
      <c r="B106" s="136" t="s">
        <v>87</v>
      </c>
      <c r="C106" s="137">
        <v>0</v>
      </c>
      <c r="D106" s="138">
        <v>0</v>
      </c>
      <c r="E106" s="139">
        <v>0</v>
      </c>
      <c r="F106" s="139">
        <v>0</v>
      </c>
      <c r="G106" s="139">
        <v>0</v>
      </c>
      <c r="H106" s="139">
        <v>0</v>
      </c>
      <c r="I106" s="139">
        <v>0</v>
      </c>
      <c r="J106" s="139">
        <v>0</v>
      </c>
      <c r="K106" s="139">
        <v>0</v>
      </c>
      <c r="L106" s="139">
        <v>0</v>
      </c>
      <c r="M106" s="139">
        <v>0</v>
      </c>
      <c r="N106" s="139">
        <v>0</v>
      </c>
      <c r="O106" s="139">
        <v>0</v>
      </c>
      <c r="P106" s="139">
        <v>0</v>
      </c>
      <c r="Q106" s="139">
        <v>0</v>
      </c>
      <c r="R106" s="139">
        <v>0</v>
      </c>
      <c r="S106" s="139">
        <v>0</v>
      </c>
      <c r="T106" s="139">
        <v>0</v>
      </c>
      <c r="U106" s="139">
        <v>0</v>
      </c>
      <c r="V106" s="139">
        <v>0</v>
      </c>
      <c r="W106" s="139">
        <v>0</v>
      </c>
      <c r="X106" s="139">
        <v>0</v>
      </c>
      <c r="Y106" s="139">
        <v>0</v>
      </c>
      <c r="Z106" s="139">
        <v>0</v>
      </c>
      <c r="AA106" s="139">
        <v>0</v>
      </c>
      <c r="AB106" s="139">
        <v>6000</v>
      </c>
      <c r="AC106" s="139">
        <v>6000</v>
      </c>
      <c r="AD106" s="139">
        <v>6000</v>
      </c>
      <c r="AE106" s="139">
        <v>6000</v>
      </c>
      <c r="AF106" s="139">
        <v>6000</v>
      </c>
      <c r="AG106" s="139">
        <v>6000</v>
      </c>
      <c r="AH106" s="139">
        <v>6000</v>
      </c>
      <c r="AI106" s="139">
        <v>6000</v>
      </c>
      <c r="AJ106" s="139">
        <v>6000</v>
      </c>
      <c r="AK106" s="139">
        <v>6000</v>
      </c>
      <c r="AL106" s="139">
        <v>6000</v>
      </c>
      <c r="AM106" s="139">
        <v>6000</v>
      </c>
      <c r="AN106" s="139">
        <v>6000</v>
      </c>
      <c r="AO106" s="139">
        <v>0</v>
      </c>
      <c r="AP106" s="139">
        <v>0</v>
      </c>
      <c r="AQ106" s="139">
        <v>0</v>
      </c>
      <c r="AR106" s="139">
        <v>0</v>
      </c>
      <c r="AS106" s="139">
        <v>0</v>
      </c>
      <c r="AT106" s="139">
        <v>0</v>
      </c>
      <c r="AU106" s="139">
        <v>0</v>
      </c>
      <c r="AV106" s="140"/>
    </row>
    <row r="107" spans="2:48" ht="15.75" customHeight="1" x14ac:dyDescent="0.2">
      <c r="B107" s="136" t="s">
        <v>88</v>
      </c>
      <c r="C107" s="137">
        <v>0</v>
      </c>
      <c r="D107" s="138">
        <v>0</v>
      </c>
      <c r="E107" s="139">
        <v>0</v>
      </c>
      <c r="F107" s="139">
        <v>0</v>
      </c>
      <c r="G107" s="139">
        <v>0</v>
      </c>
      <c r="H107" s="139">
        <v>0</v>
      </c>
      <c r="I107" s="139">
        <v>0</v>
      </c>
      <c r="J107" s="139">
        <v>0</v>
      </c>
      <c r="K107" s="139">
        <v>0</v>
      </c>
      <c r="L107" s="139">
        <v>0</v>
      </c>
      <c r="M107" s="139">
        <v>0</v>
      </c>
      <c r="N107" s="139">
        <v>0</v>
      </c>
      <c r="O107" s="139">
        <v>0</v>
      </c>
      <c r="P107" s="139">
        <v>0</v>
      </c>
      <c r="Q107" s="139">
        <v>0</v>
      </c>
      <c r="R107" s="139">
        <v>0</v>
      </c>
      <c r="S107" s="139">
        <v>0</v>
      </c>
      <c r="T107" s="139">
        <v>0</v>
      </c>
      <c r="U107" s="139">
        <v>0</v>
      </c>
      <c r="V107" s="139">
        <v>0</v>
      </c>
      <c r="W107" s="139">
        <v>0</v>
      </c>
      <c r="X107" s="139">
        <v>0</v>
      </c>
      <c r="Y107" s="139">
        <v>0</v>
      </c>
      <c r="Z107" s="139">
        <v>0</v>
      </c>
      <c r="AA107" s="139">
        <v>0</v>
      </c>
      <c r="AB107" s="139">
        <v>0</v>
      </c>
      <c r="AC107" s="139">
        <v>6000</v>
      </c>
      <c r="AD107" s="139">
        <v>6000</v>
      </c>
      <c r="AE107" s="139">
        <v>6000</v>
      </c>
      <c r="AF107" s="139">
        <v>6000</v>
      </c>
      <c r="AG107" s="139">
        <v>6000</v>
      </c>
      <c r="AH107" s="139">
        <v>6000</v>
      </c>
      <c r="AI107" s="139">
        <v>6000</v>
      </c>
      <c r="AJ107" s="139">
        <v>6000</v>
      </c>
      <c r="AK107" s="139">
        <v>6000</v>
      </c>
      <c r="AL107" s="139">
        <v>6000</v>
      </c>
      <c r="AM107" s="139">
        <v>6000</v>
      </c>
      <c r="AN107" s="139">
        <v>6000</v>
      </c>
      <c r="AO107" s="139">
        <v>0</v>
      </c>
      <c r="AP107" s="139">
        <v>0</v>
      </c>
      <c r="AQ107" s="139">
        <v>0</v>
      </c>
      <c r="AR107" s="139">
        <v>0</v>
      </c>
      <c r="AS107" s="139">
        <v>0</v>
      </c>
      <c r="AT107" s="139">
        <v>0</v>
      </c>
      <c r="AU107" s="139">
        <v>0</v>
      </c>
      <c r="AV107" s="140"/>
    </row>
    <row r="108" spans="2:48" ht="15.75" customHeight="1" x14ac:dyDescent="0.2">
      <c r="B108" s="136" t="s">
        <v>89</v>
      </c>
      <c r="C108" s="137">
        <v>0</v>
      </c>
      <c r="D108" s="138">
        <v>0</v>
      </c>
      <c r="E108" s="139">
        <v>0</v>
      </c>
      <c r="F108" s="139">
        <v>0</v>
      </c>
      <c r="G108" s="139">
        <v>0</v>
      </c>
      <c r="H108" s="139">
        <v>0</v>
      </c>
      <c r="I108" s="139">
        <v>0</v>
      </c>
      <c r="J108" s="139">
        <v>0</v>
      </c>
      <c r="K108" s="139">
        <v>0</v>
      </c>
      <c r="L108" s="139">
        <v>0</v>
      </c>
      <c r="M108" s="139">
        <v>0</v>
      </c>
      <c r="N108" s="139">
        <v>0</v>
      </c>
      <c r="O108" s="139">
        <v>0</v>
      </c>
      <c r="P108" s="139">
        <v>0</v>
      </c>
      <c r="Q108" s="139">
        <v>0</v>
      </c>
      <c r="R108" s="139">
        <v>0</v>
      </c>
      <c r="S108" s="139">
        <v>0</v>
      </c>
      <c r="T108" s="139">
        <v>0</v>
      </c>
      <c r="U108" s="139">
        <v>0</v>
      </c>
      <c r="V108" s="139">
        <v>0</v>
      </c>
      <c r="W108" s="139">
        <v>0</v>
      </c>
      <c r="X108" s="139">
        <v>0</v>
      </c>
      <c r="Y108" s="139">
        <v>0</v>
      </c>
      <c r="Z108" s="139">
        <v>0</v>
      </c>
      <c r="AA108" s="139">
        <v>0</v>
      </c>
      <c r="AB108" s="139">
        <v>0</v>
      </c>
      <c r="AC108" s="139">
        <v>21000</v>
      </c>
      <c r="AD108" s="139">
        <v>21000</v>
      </c>
      <c r="AE108" s="139">
        <v>21000</v>
      </c>
      <c r="AF108" s="139">
        <v>21000</v>
      </c>
      <c r="AG108" s="139">
        <v>21000</v>
      </c>
      <c r="AH108" s="139">
        <v>21000</v>
      </c>
      <c r="AI108" s="139">
        <v>21000</v>
      </c>
      <c r="AJ108" s="139">
        <v>21000</v>
      </c>
      <c r="AK108" s="139">
        <v>21000</v>
      </c>
      <c r="AL108" s="139">
        <v>21000</v>
      </c>
      <c r="AM108" s="139">
        <v>21000</v>
      </c>
      <c r="AN108" s="139">
        <v>21000</v>
      </c>
      <c r="AO108" s="139">
        <v>28140</v>
      </c>
      <c r="AP108" s="139">
        <v>28140</v>
      </c>
      <c r="AQ108" s="139">
        <v>28140</v>
      </c>
      <c r="AR108" s="139">
        <v>28140</v>
      </c>
      <c r="AS108" s="139">
        <v>28140</v>
      </c>
      <c r="AT108" s="139">
        <v>28140</v>
      </c>
      <c r="AU108" s="139">
        <v>28140</v>
      </c>
      <c r="AV108" s="140"/>
    </row>
    <row r="109" spans="2:48" ht="15.75" customHeight="1" x14ac:dyDescent="0.2">
      <c r="B109" s="136" t="s">
        <v>90</v>
      </c>
      <c r="C109" s="137">
        <v>0</v>
      </c>
      <c r="D109" s="138">
        <v>0</v>
      </c>
      <c r="E109" s="139">
        <v>0</v>
      </c>
      <c r="F109" s="139">
        <v>0</v>
      </c>
      <c r="G109" s="139">
        <v>0</v>
      </c>
      <c r="H109" s="139">
        <v>0</v>
      </c>
      <c r="I109" s="139">
        <v>0</v>
      </c>
      <c r="J109" s="139">
        <v>0</v>
      </c>
      <c r="K109" s="139">
        <v>0</v>
      </c>
      <c r="L109" s="139">
        <v>0</v>
      </c>
      <c r="M109" s="139">
        <v>0</v>
      </c>
      <c r="N109" s="139">
        <v>0</v>
      </c>
      <c r="O109" s="139">
        <v>0</v>
      </c>
      <c r="P109" s="139">
        <v>0</v>
      </c>
      <c r="Q109" s="139">
        <v>0</v>
      </c>
      <c r="R109" s="139">
        <v>0</v>
      </c>
      <c r="S109" s="139">
        <v>0</v>
      </c>
      <c r="T109" s="139">
        <v>0</v>
      </c>
      <c r="U109" s="139">
        <v>0</v>
      </c>
      <c r="V109" s="139">
        <v>0</v>
      </c>
      <c r="W109" s="139">
        <v>0</v>
      </c>
      <c r="X109" s="139">
        <v>0</v>
      </c>
      <c r="Y109" s="139">
        <v>0</v>
      </c>
      <c r="Z109" s="139">
        <v>0</v>
      </c>
      <c r="AA109" s="139">
        <v>0</v>
      </c>
      <c r="AB109" s="139">
        <v>0</v>
      </c>
      <c r="AC109" s="139">
        <v>70200</v>
      </c>
      <c r="AD109" s="139">
        <v>70200</v>
      </c>
      <c r="AE109" s="139">
        <v>70200</v>
      </c>
      <c r="AF109" s="139">
        <v>70200</v>
      </c>
      <c r="AG109" s="139">
        <v>70200</v>
      </c>
      <c r="AH109" s="139">
        <v>70200</v>
      </c>
      <c r="AI109" s="139">
        <v>70200</v>
      </c>
      <c r="AJ109" s="139">
        <v>70200</v>
      </c>
      <c r="AK109" s="139">
        <v>70200</v>
      </c>
      <c r="AL109" s="139">
        <v>70200</v>
      </c>
      <c r="AM109" s="139">
        <v>70200</v>
      </c>
      <c r="AN109" s="139">
        <v>70200</v>
      </c>
      <c r="AO109" s="139">
        <v>70200</v>
      </c>
      <c r="AP109" s="139">
        <v>70200</v>
      </c>
      <c r="AQ109" s="139">
        <v>70200</v>
      </c>
      <c r="AR109" s="139">
        <v>70200</v>
      </c>
      <c r="AS109" s="139">
        <v>70200</v>
      </c>
      <c r="AT109" s="139">
        <v>70200</v>
      </c>
      <c r="AU109" s="139">
        <v>70200</v>
      </c>
      <c r="AV109" s="140"/>
    </row>
    <row r="110" spans="2:48" ht="15.75" customHeight="1" x14ac:dyDescent="0.2">
      <c r="B110" s="136" t="s">
        <v>91</v>
      </c>
      <c r="C110" s="137">
        <v>0</v>
      </c>
      <c r="D110" s="138">
        <v>0</v>
      </c>
      <c r="E110" s="139">
        <v>0</v>
      </c>
      <c r="F110" s="139">
        <v>0</v>
      </c>
      <c r="G110" s="139">
        <v>0</v>
      </c>
      <c r="H110" s="139">
        <v>0</v>
      </c>
      <c r="I110" s="139">
        <v>0</v>
      </c>
      <c r="J110" s="139">
        <v>0</v>
      </c>
      <c r="K110" s="139">
        <v>0</v>
      </c>
      <c r="L110" s="139">
        <v>0</v>
      </c>
      <c r="M110" s="139">
        <v>0</v>
      </c>
      <c r="N110" s="139">
        <v>0</v>
      </c>
      <c r="O110" s="139">
        <v>0</v>
      </c>
      <c r="P110" s="139">
        <v>0</v>
      </c>
      <c r="Q110" s="139">
        <v>0</v>
      </c>
      <c r="R110" s="139">
        <v>0</v>
      </c>
      <c r="S110" s="139">
        <v>0</v>
      </c>
      <c r="T110" s="139">
        <v>0</v>
      </c>
      <c r="U110" s="139">
        <v>0</v>
      </c>
      <c r="V110" s="139">
        <v>0</v>
      </c>
      <c r="W110" s="139">
        <v>0</v>
      </c>
      <c r="X110" s="139">
        <v>0</v>
      </c>
      <c r="Y110" s="139">
        <v>0</v>
      </c>
      <c r="Z110" s="139">
        <v>0</v>
      </c>
      <c r="AA110" s="139">
        <v>0</v>
      </c>
      <c r="AB110" s="139">
        <v>0</v>
      </c>
      <c r="AC110" s="139">
        <v>18000</v>
      </c>
      <c r="AD110" s="139">
        <v>18000</v>
      </c>
      <c r="AE110" s="139">
        <v>18000</v>
      </c>
      <c r="AF110" s="139">
        <v>18000</v>
      </c>
      <c r="AG110" s="139">
        <v>18000</v>
      </c>
      <c r="AH110" s="139">
        <v>18000</v>
      </c>
      <c r="AI110" s="139">
        <v>18000</v>
      </c>
      <c r="AJ110" s="139">
        <v>18000</v>
      </c>
      <c r="AK110" s="139">
        <v>18000</v>
      </c>
      <c r="AL110" s="139">
        <v>18000</v>
      </c>
      <c r="AM110" s="139">
        <v>18000</v>
      </c>
      <c r="AN110" s="139">
        <v>18000</v>
      </c>
      <c r="AO110" s="139">
        <v>0</v>
      </c>
      <c r="AP110" s="139">
        <v>0</v>
      </c>
      <c r="AQ110" s="139">
        <v>0</v>
      </c>
      <c r="AR110" s="139">
        <v>0</v>
      </c>
      <c r="AS110" s="139">
        <v>0</v>
      </c>
      <c r="AT110" s="139">
        <v>0</v>
      </c>
      <c r="AU110" s="139">
        <v>0</v>
      </c>
      <c r="AV110" s="140"/>
    </row>
    <row r="111" spans="2:48" ht="15.75" customHeight="1" x14ac:dyDescent="0.2">
      <c r="B111" s="136" t="s">
        <v>92</v>
      </c>
      <c r="C111" s="137">
        <v>0</v>
      </c>
      <c r="D111" s="138">
        <v>0</v>
      </c>
      <c r="E111" s="139">
        <v>0</v>
      </c>
      <c r="F111" s="139">
        <v>0</v>
      </c>
      <c r="G111" s="139">
        <v>0</v>
      </c>
      <c r="H111" s="139">
        <v>0</v>
      </c>
      <c r="I111" s="139">
        <v>0</v>
      </c>
      <c r="J111" s="139">
        <v>0</v>
      </c>
      <c r="K111" s="139">
        <v>0</v>
      </c>
      <c r="L111" s="139">
        <v>0</v>
      </c>
      <c r="M111" s="139">
        <v>0</v>
      </c>
      <c r="N111" s="139">
        <v>0</v>
      </c>
      <c r="O111" s="139">
        <v>0</v>
      </c>
      <c r="P111" s="139">
        <v>0</v>
      </c>
      <c r="Q111" s="139">
        <v>0</v>
      </c>
      <c r="R111" s="139">
        <v>0</v>
      </c>
      <c r="S111" s="139">
        <v>0</v>
      </c>
      <c r="T111" s="139">
        <v>0</v>
      </c>
      <c r="U111" s="139">
        <v>0</v>
      </c>
      <c r="V111" s="139">
        <v>0</v>
      </c>
      <c r="W111" s="139">
        <v>0</v>
      </c>
      <c r="X111" s="139">
        <v>0</v>
      </c>
      <c r="Y111" s="139">
        <v>0</v>
      </c>
      <c r="Z111" s="139">
        <v>0</v>
      </c>
      <c r="AA111" s="139">
        <v>0</v>
      </c>
      <c r="AB111" s="139">
        <v>0</v>
      </c>
      <c r="AC111" s="139">
        <v>5952</v>
      </c>
      <c r="AD111" s="139">
        <v>5952</v>
      </c>
      <c r="AE111" s="139">
        <v>5952</v>
      </c>
      <c r="AF111" s="139">
        <v>5952</v>
      </c>
      <c r="AG111" s="139">
        <v>5952</v>
      </c>
      <c r="AH111" s="139">
        <v>5952</v>
      </c>
      <c r="AI111" s="139">
        <v>5952</v>
      </c>
      <c r="AJ111" s="139">
        <v>5952</v>
      </c>
      <c r="AK111" s="139">
        <v>5952</v>
      </c>
      <c r="AL111" s="139">
        <v>5952</v>
      </c>
      <c r="AM111" s="139">
        <v>5952</v>
      </c>
      <c r="AN111" s="139">
        <v>5952</v>
      </c>
      <c r="AO111" s="139">
        <v>25440</v>
      </c>
      <c r="AP111" s="139">
        <v>25440</v>
      </c>
      <c r="AQ111" s="139">
        <v>25440</v>
      </c>
      <c r="AR111" s="139">
        <v>25440</v>
      </c>
      <c r="AS111" s="139">
        <v>25440</v>
      </c>
      <c r="AT111" s="139">
        <v>25440</v>
      </c>
      <c r="AU111" s="139">
        <v>25440</v>
      </c>
      <c r="AV111" s="140"/>
    </row>
    <row r="112" spans="2:48" ht="15.75" customHeight="1" x14ac:dyDescent="0.2">
      <c r="B112" s="136" t="s">
        <v>93</v>
      </c>
      <c r="C112" s="137">
        <v>0</v>
      </c>
      <c r="D112" s="138">
        <v>0</v>
      </c>
      <c r="E112" s="139">
        <v>0</v>
      </c>
      <c r="F112" s="139">
        <v>0</v>
      </c>
      <c r="G112" s="139">
        <v>0</v>
      </c>
      <c r="H112" s="139">
        <v>0</v>
      </c>
      <c r="I112" s="139">
        <v>0</v>
      </c>
      <c r="J112" s="139">
        <v>0</v>
      </c>
      <c r="K112" s="139">
        <v>0</v>
      </c>
      <c r="L112" s="139">
        <v>0</v>
      </c>
      <c r="M112" s="139">
        <v>0</v>
      </c>
      <c r="N112" s="139">
        <v>0</v>
      </c>
      <c r="O112" s="139">
        <v>0</v>
      </c>
      <c r="P112" s="139">
        <v>0</v>
      </c>
      <c r="Q112" s="139">
        <v>0</v>
      </c>
      <c r="R112" s="139">
        <v>0</v>
      </c>
      <c r="S112" s="139">
        <v>0</v>
      </c>
      <c r="T112" s="139">
        <v>0</v>
      </c>
      <c r="U112" s="139">
        <v>0</v>
      </c>
      <c r="V112" s="139">
        <v>0</v>
      </c>
      <c r="W112" s="139">
        <v>0</v>
      </c>
      <c r="X112" s="139">
        <v>0</v>
      </c>
      <c r="Y112" s="139">
        <v>0</v>
      </c>
      <c r="Z112" s="139">
        <v>0</v>
      </c>
      <c r="AA112" s="139">
        <v>0</v>
      </c>
      <c r="AB112" s="139">
        <v>0</v>
      </c>
      <c r="AC112" s="139">
        <v>8160</v>
      </c>
      <c r="AD112" s="139">
        <v>8160</v>
      </c>
      <c r="AE112" s="139">
        <v>8160</v>
      </c>
      <c r="AF112" s="139">
        <v>8160</v>
      </c>
      <c r="AG112" s="139">
        <v>8160</v>
      </c>
      <c r="AH112" s="139">
        <v>8160</v>
      </c>
      <c r="AI112" s="139">
        <v>8160</v>
      </c>
      <c r="AJ112" s="139">
        <v>8160</v>
      </c>
      <c r="AK112" s="139">
        <v>8160</v>
      </c>
      <c r="AL112" s="139">
        <v>8160</v>
      </c>
      <c r="AM112" s="139">
        <v>8160</v>
      </c>
      <c r="AN112" s="139">
        <v>8160</v>
      </c>
      <c r="AO112" s="139">
        <v>9552</v>
      </c>
      <c r="AP112" s="139">
        <v>9552</v>
      </c>
      <c r="AQ112" s="139">
        <v>9552</v>
      </c>
      <c r="AR112" s="139">
        <v>9552</v>
      </c>
      <c r="AS112" s="139">
        <v>9552</v>
      </c>
      <c r="AT112" s="139">
        <v>0</v>
      </c>
      <c r="AU112" s="139">
        <v>0</v>
      </c>
      <c r="AV112" s="140"/>
    </row>
    <row r="113" spans="2:48" ht="15.75" customHeight="1" x14ac:dyDescent="0.2">
      <c r="B113" s="136" t="s">
        <v>94</v>
      </c>
      <c r="C113" s="137">
        <v>0</v>
      </c>
      <c r="D113" s="138">
        <v>0</v>
      </c>
      <c r="E113" s="139">
        <v>0</v>
      </c>
      <c r="F113" s="139">
        <v>0</v>
      </c>
      <c r="G113" s="139">
        <v>0</v>
      </c>
      <c r="H113" s="139">
        <v>0</v>
      </c>
      <c r="I113" s="139">
        <v>0</v>
      </c>
      <c r="J113" s="139">
        <v>0</v>
      </c>
      <c r="K113" s="139">
        <v>0</v>
      </c>
      <c r="L113" s="139">
        <v>0</v>
      </c>
      <c r="M113" s="139">
        <v>0</v>
      </c>
      <c r="N113" s="139">
        <v>0</v>
      </c>
      <c r="O113" s="139">
        <v>0</v>
      </c>
      <c r="P113" s="139">
        <v>0</v>
      </c>
      <c r="Q113" s="139">
        <v>0</v>
      </c>
      <c r="R113" s="139">
        <v>0</v>
      </c>
      <c r="S113" s="139">
        <v>0</v>
      </c>
      <c r="T113" s="139">
        <v>0</v>
      </c>
      <c r="U113" s="139">
        <v>0</v>
      </c>
      <c r="V113" s="139">
        <v>0</v>
      </c>
      <c r="W113" s="139">
        <v>0</v>
      </c>
      <c r="X113" s="139">
        <v>0</v>
      </c>
      <c r="Y113" s="139">
        <v>0</v>
      </c>
      <c r="Z113" s="139">
        <v>0</v>
      </c>
      <c r="AA113" s="139">
        <v>0</v>
      </c>
      <c r="AB113" s="139">
        <v>0</v>
      </c>
      <c r="AC113" s="139">
        <v>4080</v>
      </c>
      <c r="AD113" s="139">
        <v>4080</v>
      </c>
      <c r="AE113" s="139">
        <v>4080</v>
      </c>
      <c r="AF113" s="139">
        <v>4080</v>
      </c>
      <c r="AG113" s="139">
        <v>4080</v>
      </c>
      <c r="AH113" s="139">
        <v>4080</v>
      </c>
      <c r="AI113" s="139">
        <v>4080</v>
      </c>
      <c r="AJ113" s="139">
        <v>4080</v>
      </c>
      <c r="AK113" s="139">
        <v>4080</v>
      </c>
      <c r="AL113" s="139">
        <v>4080</v>
      </c>
      <c r="AM113" s="139">
        <v>4080</v>
      </c>
      <c r="AN113" s="139">
        <v>4080</v>
      </c>
      <c r="AO113" s="139">
        <v>14760</v>
      </c>
      <c r="AP113" s="139">
        <v>14760</v>
      </c>
      <c r="AQ113" s="139">
        <v>14760</v>
      </c>
      <c r="AR113" s="139">
        <v>14760</v>
      </c>
      <c r="AS113" s="139">
        <v>14760</v>
      </c>
      <c r="AT113" s="139">
        <v>14760</v>
      </c>
      <c r="AU113" s="139">
        <v>14760</v>
      </c>
      <c r="AV113" s="140"/>
    </row>
    <row r="114" spans="2:48" ht="15.75" customHeight="1" x14ac:dyDescent="0.2">
      <c r="B114" s="136" t="s">
        <v>95</v>
      </c>
      <c r="C114" s="137">
        <v>0</v>
      </c>
      <c r="D114" s="138">
        <v>0</v>
      </c>
      <c r="E114" s="139">
        <v>0</v>
      </c>
      <c r="F114" s="139">
        <v>0</v>
      </c>
      <c r="G114" s="139">
        <v>0</v>
      </c>
      <c r="H114" s="139">
        <v>0</v>
      </c>
      <c r="I114" s="139">
        <v>0</v>
      </c>
      <c r="J114" s="139">
        <v>0</v>
      </c>
      <c r="K114" s="139">
        <v>0</v>
      </c>
      <c r="L114" s="139">
        <v>0</v>
      </c>
      <c r="M114" s="139">
        <v>0</v>
      </c>
      <c r="N114" s="139">
        <v>0</v>
      </c>
      <c r="O114" s="139">
        <v>0</v>
      </c>
      <c r="P114" s="139">
        <v>0</v>
      </c>
      <c r="Q114" s="139">
        <v>0</v>
      </c>
      <c r="R114" s="139">
        <v>0</v>
      </c>
      <c r="S114" s="139">
        <v>0</v>
      </c>
      <c r="T114" s="139">
        <v>0</v>
      </c>
      <c r="U114" s="139">
        <v>0</v>
      </c>
      <c r="V114" s="139">
        <v>0</v>
      </c>
      <c r="W114" s="139">
        <v>0</v>
      </c>
      <c r="X114" s="139">
        <v>0</v>
      </c>
      <c r="Y114" s="139">
        <v>0</v>
      </c>
      <c r="Z114" s="139">
        <v>0</v>
      </c>
      <c r="AA114" s="139">
        <v>0</v>
      </c>
      <c r="AB114" s="139">
        <v>0</v>
      </c>
      <c r="AC114" s="139">
        <v>0</v>
      </c>
      <c r="AD114" s="139">
        <v>6048</v>
      </c>
      <c r="AE114" s="139">
        <v>6048</v>
      </c>
      <c r="AF114" s="139">
        <v>6048</v>
      </c>
      <c r="AG114" s="139">
        <v>6048</v>
      </c>
      <c r="AH114" s="139">
        <v>6048</v>
      </c>
      <c r="AI114" s="139">
        <v>6048</v>
      </c>
      <c r="AJ114" s="139">
        <v>6048</v>
      </c>
      <c r="AK114" s="139">
        <v>6048</v>
      </c>
      <c r="AL114" s="139">
        <v>6048</v>
      </c>
      <c r="AM114" s="139">
        <v>6048</v>
      </c>
      <c r="AN114" s="139">
        <v>6048</v>
      </c>
      <c r="AO114" s="139">
        <v>6048</v>
      </c>
      <c r="AP114" s="139">
        <v>13284</v>
      </c>
      <c r="AQ114" s="139">
        <v>13284</v>
      </c>
      <c r="AR114" s="139">
        <v>13284</v>
      </c>
      <c r="AS114" s="139">
        <v>13284</v>
      </c>
      <c r="AT114" s="139">
        <v>13284</v>
      </c>
      <c r="AU114" s="139">
        <v>13284</v>
      </c>
      <c r="AV114" s="140"/>
    </row>
    <row r="115" spans="2:48" ht="15.75" customHeight="1" x14ac:dyDescent="0.2">
      <c r="B115" s="136" t="s">
        <v>96</v>
      </c>
      <c r="C115" s="137">
        <v>0</v>
      </c>
      <c r="D115" s="138">
        <v>0</v>
      </c>
      <c r="E115" s="139">
        <v>0</v>
      </c>
      <c r="F115" s="139">
        <v>0</v>
      </c>
      <c r="G115" s="139">
        <v>0</v>
      </c>
      <c r="H115" s="139">
        <v>0</v>
      </c>
      <c r="I115" s="139">
        <v>0</v>
      </c>
      <c r="J115" s="139">
        <v>0</v>
      </c>
      <c r="K115" s="139">
        <v>0</v>
      </c>
      <c r="L115" s="139">
        <v>0</v>
      </c>
      <c r="M115" s="139">
        <v>0</v>
      </c>
      <c r="N115" s="139">
        <v>0</v>
      </c>
      <c r="O115" s="139">
        <v>0</v>
      </c>
      <c r="P115" s="139">
        <v>0</v>
      </c>
      <c r="Q115" s="139">
        <v>0</v>
      </c>
      <c r="R115" s="139">
        <v>0</v>
      </c>
      <c r="S115" s="139">
        <v>0</v>
      </c>
      <c r="T115" s="139">
        <v>0</v>
      </c>
      <c r="U115" s="139">
        <v>0</v>
      </c>
      <c r="V115" s="139">
        <v>0</v>
      </c>
      <c r="W115" s="139">
        <v>0</v>
      </c>
      <c r="X115" s="139">
        <v>0</v>
      </c>
      <c r="Y115" s="139">
        <v>0</v>
      </c>
      <c r="Z115" s="139">
        <v>0</v>
      </c>
      <c r="AA115" s="139">
        <v>0</v>
      </c>
      <c r="AB115" s="139">
        <v>0</v>
      </c>
      <c r="AC115" s="139">
        <v>0</v>
      </c>
      <c r="AD115" s="139">
        <v>6300</v>
      </c>
      <c r="AE115" s="139">
        <v>6300</v>
      </c>
      <c r="AF115" s="139">
        <v>6300</v>
      </c>
      <c r="AG115" s="139">
        <v>6300</v>
      </c>
      <c r="AH115" s="139">
        <v>6300</v>
      </c>
      <c r="AI115" s="139">
        <v>6300</v>
      </c>
      <c r="AJ115" s="139">
        <v>6300</v>
      </c>
      <c r="AK115" s="139">
        <v>6300</v>
      </c>
      <c r="AL115" s="139">
        <v>6300</v>
      </c>
      <c r="AM115" s="139">
        <v>6300</v>
      </c>
      <c r="AN115" s="139">
        <v>6300</v>
      </c>
      <c r="AO115" s="139">
        <v>6300</v>
      </c>
      <c r="AP115" s="139">
        <v>0</v>
      </c>
      <c r="AQ115" s="139">
        <v>0</v>
      </c>
      <c r="AR115" s="139">
        <v>0</v>
      </c>
      <c r="AS115" s="139">
        <v>0</v>
      </c>
      <c r="AT115" s="139">
        <v>0</v>
      </c>
      <c r="AU115" s="139">
        <v>0</v>
      </c>
      <c r="AV115" s="140"/>
    </row>
    <row r="116" spans="2:48" ht="15.75" customHeight="1" x14ac:dyDescent="0.2">
      <c r="B116" s="136" t="s">
        <v>97</v>
      </c>
      <c r="C116" s="137">
        <v>0</v>
      </c>
      <c r="D116" s="138">
        <v>0</v>
      </c>
      <c r="E116" s="139">
        <v>0</v>
      </c>
      <c r="F116" s="139">
        <v>0</v>
      </c>
      <c r="G116" s="139">
        <v>0</v>
      </c>
      <c r="H116" s="139">
        <v>0</v>
      </c>
      <c r="I116" s="139">
        <v>0</v>
      </c>
      <c r="J116" s="139">
        <v>0</v>
      </c>
      <c r="K116" s="139">
        <v>0</v>
      </c>
      <c r="L116" s="139">
        <v>0</v>
      </c>
      <c r="M116" s="139">
        <v>0</v>
      </c>
      <c r="N116" s="139">
        <v>0</v>
      </c>
      <c r="O116" s="139">
        <v>0</v>
      </c>
      <c r="P116" s="139">
        <v>0</v>
      </c>
      <c r="Q116" s="139">
        <v>0</v>
      </c>
      <c r="R116" s="139">
        <v>0</v>
      </c>
      <c r="S116" s="139">
        <v>0</v>
      </c>
      <c r="T116" s="139">
        <v>0</v>
      </c>
      <c r="U116" s="139">
        <v>0</v>
      </c>
      <c r="V116" s="139">
        <v>0</v>
      </c>
      <c r="W116" s="139">
        <v>0</v>
      </c>
      <c r="X116" s="139">
        <v>0</v>
      </c>
      <c r="Y116" s="139">
        <v>0</v>
      </c>
      <c r="Z116" s="139">
        <v>0</v>
      </c>
      <c r="AA116" s="139">
        <v>0</v>
      </c>
      <c r="AB116" s="139">
        <v>0</v>
      </c>
      <c r="AC116" s="139">
        <v>0</v>
      </c>
      <c r="AD116" s="139">
        <v>6000</v>
      </c>
      <c r="AE116" s="139">
        <v>6000</v>
      </c>
      <c r="AF116" s="139">
        <v>6000</v>
      </c>
      <c r="AG116" s="139">
        <v>6000</v>
      </c>
      <c r="AH116" s="139">
        <v>6000</v>
      </c>
      <c r="AI116" s="139">
        <v>6000</v>
      </c>
      <c r="AJ116" s="139">
        <v>6000</v>
      </c>
      <c r="AK116" s="139">
        <v>6000</v>
      </c>
      <c r="AL116" s="139">
        <v>6000</v>
      </c>
      <c r="AM116" s="139">
        <v>6000</v>
      </c>
      <c r="AN116" s="139">
        <v>6000</v>
      </c>
      <c r="AO116" s="139">
        <v>6000</v>
      </c>
      <c r="AP116" s="139">
        <v>0</v>
      </c>
      <c r="AQ116" s="139">
        <v>0</v>
      </c>
      <c r="AR116" s="139">
        <v>0</v>
      </c>
      <c r="AS116" s="139">
        <v>0</v>
      </c>
      <c r="AT116" s="139">
        <v>0</v>
      </c>
      <c r="AU116" s="139">
        <v>0</v>
      </c>
      <c r="AV116" s="140"/>
    </row>
    <row r="117" spans="2:48" ht="15.75" customHeight="1" x14ac:dyDescent="0.2">
      <c r="B117" s="136" t="s">
        <v>98</v>
      </c>
      <c r="C117" s="137">
        <v>0</v>
      </c>
      <c r="D117" s="138">
        <v>0</v>
      </c>
      <c r="E117" s="139">
        <v>0</v>
      </c>
      <c r="F117" s="139">
        <v>0</v>
      </c>
      <c r="G117" s="139">
        <v>0</v>
      </c>
      <c r="H117" s="139">
        <v>0</v>
      </c>
      <c r="I117" s="139">
        <v>0</v>
      </c>
      <c r="J117" s="139">
        <v>0</v>
      </c>
      <c r="K117" s="139">
        <v>0</v>
      </c>
      <c r="L117" s="139">
        <v>0</v>
      </c>
      <c r="M117" s="139">
        <v>0</v>
      </c>
      <c r="N117" s="139">
        <v>0</v>
      </c>
      <c r="O117" s="139">
        <v>0</v>
      </c>
      <c r="P117" s="139">
        <v>0</v>
      </c>
      <c r="Q117" s="139">
        <v>0</v>
      </c>
      <c r="R117" s="139">
        <v>0</v>
      </c>
      <c r="S117" s="139">
        <v>0</v>
      </c>
      <c r="T117" s="139">
        <v>0</v>
      </c>
      <c r="U117" s="139">
        <v>0</v>
      </c>
      <c r="V117" s="139">
        <v>0</v>
      </c>
      <c r="W117" s="139">
        <v>0</v>
      </c>
      <c r="X117" s="139">
        <v>0</v>
      </c>
      <c r="Y117" s="139">
        <v>0</v>
      </c>
      <c r="Z117" s="139">
        <v>0</v>
      </c>
      <c r="AA117" s="139">
        <v>0</v>
      </c>
      <c r="AB117" s="139">
        <v>0</v>
      </c>
      <c r="AC117" s="139">
        <v>0</v>
      </c>
      <c r="AD117" s="139">
        <v>9888</v>
      </c>
      <c r="AE117" s="139">
        <v>9888</v>
      </c>
      <c r="AF117" s="139">
        <v>9888</v>
      </c>
      <c r="AG117" s="139">
        <v>9888</v>
      </c>
      <c r="AH117" s="139">
        <v>9888</v>
      </c>
      <c r="AI117" s="139">
        <v>0</v>
      </c>
      <c r="AJ117" s="139">
        <v>0</v>
      </c>
      <c r="AK117" s="139">
        <v>0</v>
      </c>
      <c r="AL117" s="139">
        <v>0</v>
      </c>
      <c r="AM117" s="139">
        <v>0</v>
      </c>
      <c r="AN117" s="139">
        <v>0</v>
      </c>
      <c r="AO117" s="139">
        <v>0</v>
      </c>
      <c r="AP117" s="139">
        <v>0</v>
      </c>
      <c r="AQ117" s="139">
        <v>0</v>
      </c>
      <c r="AR117" s="139">
        <v>0</v>
      </c>
      <c r="AS117" s="139">
        <v>0</v>
      </c>
      <c r="AT117" s="139">
        <v>0</v>
      </c>
      <c r="AU117" s="139">
        <v>0</v>
      </c>
      <c r="AV117" s="140"/>
    </row>
    <row r="118" spans="2:48" ht="15.75" customHeight="1" x14ac:dyDescent="0.2">
      <c r="B118" s="136" t="s">
        <v>99</v>
      </c>
      <c r="C118" s="137">
        <v>0</v>
      </c>
      <c r="D118" s="138">
        <v>0</v>
      </c>
      <c r="E118" s="139">
        <v>0</v>
      </c>
      <c r="F118" s="139">
        <v>0</v>
      </c>
      <c r="G118" s="139">
        <v>0</v>
      </c>
      <c r="H118" s="139">
        <v>0</v>
      </c>
      <c r="I118" s="139">
        <v>0</v>
      </c>
      <c r="J118" s="139">
        <v>0</v>
      </c>
      <c r="K118" s="139">
        <v>0</v>
      </c>
      <c r="L118" s="139">
        <v>0</v>
      </c>
      <c r="M118" s="139">
        <v>0</v>
      </c>
      <c r="N118" s="139">
        <v>0</v>
      </c>
      <c r="O118" s="139">
        <v>0</v>
      </c>
      <c r="P118" s="139">
        <v>0</v>
      </c>
      <c r="Q118" s="139">
        <v>0</v>
      </c>
      <c r="R118" s="139">
        <v>0</v>
      </c>
      <c r="S118" s="139">
        <v>0</v>
      </c>
      <c r="T118" s="139">
        <v>0</v>
      </c>
      <c r="U118" s="139">
        <v>0</v>
      </c>
      <c r="V118" s="139">
        <v>0</v>
      </c>
      <c r="W118" s="139">
        <v>0</v>
      </c>
      <c r="X118" s="139">
        <v>0</v>
      </c>
      <c r="Y118" s="139">
        <v>0</v>
      </c>
      <c r="Z118" s="139">
        <v>0</v>
      </c>
      <c r="AA118" s="139">
        <v>0</v>
      </c>
      <c r="AB118" s="139">
        <v>0</v>
      </c>
      <c r="AC118" s="139">
        <v>0</v>
      </c>
      <c r="AD118" s="139">
        <v>17850</v>
      </c>
      <c r="AE118" s="139">
        <v>17850</v>
      </c>
      <c r="AF118" s="139">
        <v>17850</v>
      </c>
      <c r="AG118" s="139">
        <v>17850</v>
      </c>
      <c r="AH118" s="139">
        <v>17850</v>
      </c>
      <c r="AI118" s="139">
        <v>17850</v>
      </c>
      <c r="AJ118" s="139">
        <v>17850</v>
      </c>
      <c r="AK118" s="139">
        <v>17850</v>
      </c>
      <c r="AL118" s="139">
        <v>17850</v>
      </c>
      <c r="AM118" s="139">
        <v>17850</v>
      </c>
      <c r="AN118" s="139">
        <v>17850</v>
      </c>
      <c r="AO118" s="139">
        <v>17850</v>
      </c>
      <c r="AP118" s="139">
        <v>44880</v>
      </c>
      <c r="AQ118" s="139">
        <v>44880</v>
      </c>
      <c r="AR118" s="139">
        <v>44880</v>
      </c>
      <c r="AS118" s="139">
        <v>44880</v>
      </c>
      <c r="AT118" s="139">
        <v>44880</v>
      </c>
      <c r="AU118" s="139">
        <v>44880</v>
      </c>
      <c r="AV118" s="140"/>
    </row>
    <row r="119" spans="2:48" ht="15.75" customHeight="1" x14ac:dyDescent="0.2">
      <c r="B119" s="136" t="s">
        <v>100</v>
      </c>
      <c r="C119" s="137">
        <v>0</v>
      </c>
      <c r="D119" s="138">
        <v>0</v>
      </c>
      <c r="E119" s="139">
        <v>0</v>
      </c>
      <c r="F119" s="139">
        <v>0</v>
      </c>
      <c r="G119" s="139">
        <v>0</v>
      </c>
      <c r="H119" s="139">
        <v>0</v>
      </c>
      <c r="I119" s="139">
        <v>0</v>
      </c>
      <c r="J119" s="139">
        <v>0</v>
      </c>
      <c r="K119" s="139">
        <v>0</v>
      </c>
      <c r="L119" s="139">
        <v>0</v>
      </c>
      <c r="M119" s="139">
        <v>0</v>
      </c>
      <c r="N119" s="139">
        <v>0</v>
      </c>
      <c r="O119" s="139">
        <v>0</v>
      </c>
      <c r="P119" s="139">
        <v>0</v>
      </c>
      <c r="Q119" s="139">
        <v>0</v>
      </c>
      <c r="R119" s="139">
        <v>0</v>
      </c>
      <c r="S119" s="139">
        <v>0</v>
      </c>
      <c r="T119" s="139">
        <v>0</v>
      </c>
      <c r="U119" s="139">
        <v>0</v>
      </c>
      <c r="V119" s="139">
        <v>0</v>
      </c>
      <c r="W119" s="139">
        <v>0</v>
      </c>
      <c r="X119" s="139">
        <v>0</v>
      </c>
      <c r="Y119" s="139">
        <v>0</v>
      </c>
      <c r="Z119" s="139">
        <v>0</v>
      </c>
      <c r="AA119" s="139">
        <v>0</v>
      </c>
      <c r="AB119" s="139">
        <v>0</v>
      </c>
      <c r="AC119" s="139">
        <v>0</v>
      </c>
      <c r="AD119" s="139">
        <v>11247</v>
      </c>
      <c r="AE119" s="139">
        <v>11247</v>
      </c>
      <c r="AF119" s="139">
        <v>11247</v>
      </c>
      <c r="AG119" s="139">
        <v>11247</v>
      </c>
      <c r="AH119" s="139">
        <v>11247</v>
      </c>
      <c r="AI119" s="139">
        <v>11247</v>
      </c>
      <c r="AJ119" s="139">
        <v>11247</v>
      </c>
      <c r="AK119" s="139">
        <v>11247</v>
      </c>
      <c r="AL119" s="139">
        <v>11247</v>
      </c>
      <c r="AM119" s="139">
        <v>11247</v>
      </c>
      <c r="AN119" s="139">
        <v>11247</v>
      </c>
      <c r="AO119" s="139">
        <v>11247</v>
      </c>
      <c r="AP119" s="139">
        <v>11247</v>
      </c>
      <c r="AQ119" s="139">
        <v>11247</v>
      </c>
      <c r="AR119" s="139">
        <v>11247</v>
      </c>
      <c r="AS119" s="139">
        <v>11247</v>
      </c>
      <c r="AT119" s="139">
        <v>11247</v>
      </c>
      <c r="AU119" s="139">
        <v>11247</v>
      </c>
      <c r="AV119" s="140"/>
    </row>
    <row r="120" spans="2:48" ht="15.75" customHeight="1" x14ac:dyDescent="0.2">
      <c r="B120" s="136" t="s">
        <v>101</v>
      </c>
      <c r="C120" s="137">
        <v>0</v>
      </c>
      <c r="D120" s="138">
        <v>0</v>
      </c>
      <c r="E120" s="139">
        <v>0</v>
      </c>
      <c r="F120" s="139">
        <v>0</v>
      </c>
      <c r="G120" s="139">
        <v>0</v>
      </c>
      <c r="H120" s="139">
        <v>0</v>
      </c>
      <c r="I120" s="139">
        <v>0</v>
      </c>
      <c r="J120" s="139">
        <v>0</v>
      </c>
      <c r="K120" s="139">
        <v>0</v>
      </c>
      <c r="L120" s="139">
        <v>0</v>
      </c>
      <c r="M120" s="139">
        <v>0</v>
      </c>
      <c r="N120" s="139">
        <v>0</v>
      </c>
      <c r="O120" s="139">
        <v>0</v>
      </c>
      <c r="P120" s="139">
        <v>0</v>
      </c>
      <c r="Q120" s="139">
        <v>0</v>
      </c>
      <c r="R120" s="139">
        <v>0</v>
      </c>
      <c r="S120" s="139">
        <v>0</v>
      </c>
      <c r="T120" s="139">
        <v>0</v>
      </c>
      <c r="U120" s="139">
        <v>0</v>
      </c>
      <c r="V120" s="139">
        <v>0</v>
      </c>
      <c r="W120" s="139">
        <v>0</v>
      </c>
      <c r="X120" s="139">
        <v>0</v>
      </c>
      <c r="Y120" s="139">
        <v>0</v>
      </c>
      <c r="Z120" s="139">
        <v>0</v>
      </c>
      <c r="AA120" s="139">
        <v>0</v>
      </c>
      <c r="AB120" s="139">
        <v>0</v>
      </c>
      <c r="AC120" s="139">
        <v>0</v>
      </c>
      <c r="AD120" s="139">
        <v>0</v>
      </c>
      <c r="AE120" s="139">
        <v>8280</v>
      </c>
      <c r="AF120" s="139">
        <v>8280</v>
      </c>
      <c r="AG120" s="139">
        <v>8280</v>
      </c>
      <c r="AH120" s="139">
        <v>8280</v>
      </c>
      <c r="AI120" s="139">
        <v>8280</v>
      </c>
      <c r="AJ120" s="139">
        <v>8280</v>
      </c>
      <c r="AK120" s="139">
        <v>8280</v>
      </c>
      <c r="AL120" s="139">
        <v>8280</v>
      </c>
      <c r="AM120" s="139">
        <v>8280</v>
      </c>
      <c r="AN120" s="139">
        <v>8280</v>
      </c>
      <c r="AO120" s="139">
        <v>8280</v>
      </c>
      <c r="AP120" s="139">
        <v>8280</v>
      </c>
      <c r="AQ120" s="139">
        <v>12636</v>
      </c>
      <c r="AR120" s="139">
        <v>12636</v>
      </c>
      <c r="AS120" s="139">
        <v>12636</v>
      </c>
      <c r="AT120" s="139">
        <v>12636</v>
      </c>
      <c r="AU120" s="139">
        <v>12636</v>
      </c>
      <c r="AV120" s="140"/>
    </row>
    <row r="121" spans="2:48" ht="15.75" customHeight="1" x14ac:dyDescent="0.2">
      <c r="B121" s="136" t="s">
        <v>102</v>
      </c>
      <c r="C121" s="137">
        <v>0</v>
      </c>
      <c r="D121" s="138">
        <v>0</v>
      </c>
      <c r="E121" s="139">
        <v>0</v>
      </c>
      <c r="F121" s="139">
        <v>0</v>
      </c>
      <c r="G121" s="139">
        <v>0</v>
      </c>
      <c r="H121" s="139">
        <v>0</v>
      </c>
      <c r="I121" s="139">
        <v>0</v>
      </c>
      <c r="J121" s="139">
        <v>0</v>
      </c>
      <c r="K121" s="139">
        <v>0</v>
      </c>
      <c r="L121" s="139">
        <v>0</v>
      </c>
      <c r="M121" s="139">
        <v>0</v>
      </c>
      <c r="N121" s="139">
        <v>0</v>
      </c>
      <c r="O121" s="139">
        <v>0</v>
      </c>
      <c r="P121" s="139">
        <v>0</v>
      </c>
      <c r="Q121" s="139">
        <v>0</v>
      </c>
      <c r="R121" s="139">
        <v>0</v>
      </c>
      <c r="S121" s="139">
        <v>0</v>
      </c>
      <c r="T121" s="139">
        <v>0</v>
      </c>
      <c r="U121" s="139">
        <v>0</v>
      </c>
      <c r="V121" s="139">
        <v>0</v>
      </c>
      <c r="W121" s="139">
        <v>0</v>
      </c>
      <c r="X121" s="139">
        <v>0</v>
      </c>
      <c r="Y121" s="139">
        <v>0</v>
      </c>
      <c r="Z121" s="139">
        <v>0</v>
      </c>
      <c r="AA121" s="139">
        <v>0</v>
      </c>
      <c r="AB121" s="139">
        <v>0</v>
      </c>
      <c r="AC121" s="139">
        <v>0</v>
      </c>
      <c r="AD121" s="139">
        <v>0</v>
      </c>
      <c r="AE121" s="139">
        <v>6048</v>
      </c>
      <c r="AF121" s="139">
        <v>6048</v>
      </c>
      <c r="AG121" s="139">
        <v>6048</v>
      </c>
      <c r="AH121" s="139">
        <v>6048</v>
      </c>
      <c r="AI121" s="139">
        <v>6048</v>
      </c>
      <c r="AJ121" s="139">
        <v>6048</v>
      </c>
      <c r="AK121" s="139">
        <v>6048</v>
      </c>
      <c r="AL121" s="139">
        <v>6048</v>
      </c>
      <c r="AM121" s="139">
        <v>6048</v>
      </c>
      <c r="AN121" s="139">
        <v>6048</v>
      </c>
      <c r="AO121" s="139">
        <v>6048</v>
      </c>
      <c r="AP121" s="139">
        <v>6048</v>
      </c>
      <c r="AQ121" s="139">
        <v>15708</v>
      </c>
      <c r="AR121" s="139">
        <v>15708</v>
      </c>
      <c r="AS121" s="139">
        <v>15708</v>
      </c>
      <c r="AT121" s="139">
        <v>15708</v>
      </c>
      <c r="AU121" s="139">
        <v>15708</v>
      </c>
      <c r="AV121" s="140"/>
    </row>
    <row r="122" spans="2:48" ht="15.75" customHeight="1" x14ac:dyDescent="0.2">
      <c r="B122" s="136" t="s">
        <v>103</v>
      </c>
      <c r="C122" s="137">
        <v>0</v>
      </c>
      <c r="D122" s="138">
        <v>0</v>
      </c>
      <c r="E122" s="139">
        <v>0</v>
      </c>
      <c r="F122" s="139">
        <v>0</v>
      </c>
      <c r="G122" s="139">
        <v>0</v>
      </c>
      <c r="H122" s="139">
        <v>0</v>
      </c>
      <c r="I122" s="139">
        <v>0</v>
      </c>
      <c r="J122" s="139">
        <v>0</v>
      </c>
      <c r="K122" s="139">
        <v>0</v>
      </c>
      <c r="L122" s="139">
        <v>0</v>
      </c>
      <c r="M122" s="139">
        <v>0</v>
      </c>
      <c r="N122" s="139">
        <v>0</v>
      </c>
      <c r="O122" s="139">
        <v>0</v>
      </c>
      <c r="P122" s="139">
        <v>0</v>
      </c>
      <c r="Q122" s="139">
        <v>0</v>
      </c>
      <c r="R122" s="139">
        <v>0</v>
      </c>
      <c r="S122" s="139">
        <v>0</v>
      </c>
      <c r="T122" s="139">
        <v>0</v>
      </c>
      <c r="U122" s="139">
        <v>0</v>
      </c>
      <c r="V122" s="139">
        <v>0</v>
      </c>
      <c r="W122" s="139">
        <v>0</v>
      </c>
      <c r="X122" s="139">
        <v>0</v>
      </c>
      <c r="Y122" s="139">
        <v>0</v>
      </c>
      <c r="Z122" s="139">
        <v>0</v>
      </c>
      <c r="AA122" s="139">
        <v>0</v>
      </c>
      <c r="AB122" s="139">
        <v>0</v>
      </c>
      <c r="AC122" s="139">
        <v>0</v>
      </c>
      <c r="AD122" s="139">
        <v>0</v>
      </c>
      <c r="AE122" s="139">
        <v>10890</v>
      </c>
      <c r="AF122" s="139">
        <v>10890</v>
      </c>
      <c r="AG122" s="139">
        <v>10890</v>
      </c>
      <c r="AH122" s="139">
        <v>10890</v>
      </c>
      <c r="AI122" s="139">
        <v>10890</v>
      </c>
      <c r="AJ122" s="139">
        <v>10890</v>
      </c>
      <c r="AK122" s="139">
        <v>10890</v>
      </c>
      <c r="AL122" s="139">
        <v>10890</v>
      </c>
      <c r="AM122" s="139">
        <v>10890</v>
      </c>
      <c r="AN122" s="139">
        <v>10890</v>
      </c>
      <c r="AO122" s="139">
        <v>10890</v>
      </c>
      <c r="AP122" s="139">
        <v>10890</v>
      </c>
      <c r="AQ122" s="139">
        <v>10890</v>
      </c>
      <c r="AR122" s="139">
        <v>0</v>
      </c>
      <c r="AS122" s="139">
        <v>0</v>
      </c>
      <c r="AT122" s="139">
        <v>0</v>
      </c>
      <c r="AU122" s="139">
        <v>0</v>
      </c>
      <c r="AV122" s="140"/>
    </row>
    <row r="123" spans="2:48" ht="15.75" customHeight="1" x14ac:dyDescent="0.2">
      <c r="B123" s="136" t="s">
        <v>104</v>
      </c>
      <c r="C123" s="137">
        <v>0</v>
      </c>
      <c r="D123" s="138">
        <v>0</v>
      </c>
      <c r="E123" s="139">
        <v>0</v>
      </c>
      <c r="F123" s="139">
        <v>0</v>
      </c>
      <c r="G123" s="139">
        <v>0</v>
      </c>
      <c r="H123" s="139">
        <v>0</v>
      </c>
      <c r="I123" s="139">
        <v>0</v>
      </c>
      <c r="J123" s="139">
        <v>0</v>
      </c>
      <c r="K123" s="139">
        <v>0</v>
      </c>
      <c r="L123" s="139">
        <v>0</v>
      </c>
      <c r="M123" s="139">
        <v>0</v>
      </c>
      <c r="N123" s="139">
        <v>0</v>
      </c>
      <c r="O123" s="139">
        <v>0</v>
      </c>
      <c r="P123" s="139">
        <v>0</v>
      </c>
      <c r="Q123" s="139">
        <v>0</v>
      </c>
      <c r="R123" s="139">
        <v>0</v>
      </c>
      <c r="S123" s="139">
        <v>0</v>
      </c>
      <c r="T123" s="139">
        <v>0</v>
      </c>
      <c r="U123" s="139">
        <v>0</v>
      </c>
      <c r="V123" s="139">
        <v>0</v>
      </c>
      <c r="W123" s="139">
        <v>0</v>
      </c>
      <c r="X123" s="139">
        <v>0</v>
      </c>
      <c r="Y123" s="139">
        <v>0</v>
      </c>
      <c r="Z123" s="139">
        <v>0</v>
      </c>
      <c r="AA123" s="139">
        <v>0</v>
      </c>
      <c r="AB123" s="139">
        <v>0</v>
      </c>
      <c r="AC123" s="139">
        <v>0</v>
      </c>
      <c r="AD123" s="139">
        <v>0</v>
      </c>
      <c r="AE123" s="139">
        <v>13010</v>
      </c>
      <c r="AF123" s="139">
        <v>13010</v>
      </c>
      <c r="AG123" s="139">
        <v>13010</v>
      </c>
      <c r="AH123" s="139">
        <v>13010</v>
      </c>
      <c r="AI123" s="139">
        <v>13010</v>
      </c>
      <c r="AJ123" s="139">
        <v>13010</v>
      </c>
      <c r="AK123" s="139">
        <v>13010</v>
      </c>
      <c r="AL123" s="139">
        <v>13010</v>
      </c>
      <c r="AM123" s="139">
        <v>13010</v>
      </c>
      <c r="AN123" s="139">
        <v>13010</v>
      </c>
      <c r="AO123" s="139">
        <v>13010</v>
      </c>
      <c r="AP123" s="139">
        <v>13010</v>
      </c>
      <c r="AQ123" s="139">
        <v>39732</v>
      </c>
      <c r="AR123" s="139">
        <v>39732</v>
      </c>
      <c r="AS123" s="139">
        <v>39732</v>
      </c>
      <c r="AT123" s="139">
        <v>39732</v>
      </c>
      <c r="AU123" s="139">
        <v>39732</v>
      </c>
      <c r="AV123" s="140"/>
    </row>
    <row r="124" spans="2:48" ht="15.75" customHeight="1" x14ac:dyDescent="0.2">
      <c r="B124" s="136" t="s">
        <v>105</v>
      </c>
      <c r="C124" s="137">
        <v>0</v>
      </c>
      <c r="D124" s="138">
        <v>0</v>
      </c>
      <c r="E124" s="139">
        <v>0</v>
      </c>
      <c r="F124" s="139">
        <v>0</v>
      </c>
      <c r="G124" s="139">
        <v>0</v>
      </c>
      <c r="H124" s="139">
        <v>0</v>
      </c>
      <c r="I124" s="139">
        <v>0</v>
      </c>
      <c r="J124" s="139">
        <v>0</v>
      </c>
      <c r="K124" s="139">
        <v>0</v>
      </c>
      <c r="L124" s="139">
        <v>0</v>
      </c>
      <c r="M124" s="139">
        <v>0</v>
      </c>
      <c r="N124" s="139">
        <v>0</v>
      </c>
      <c r="O124" s="139">
        <v>0</v>
      </c>
      <c r="P124" s="139">
        <v>0</v>
      </c>
      <c r="Q124" s="139">
        <v>0</v>
      </c>
      <c r="R124" s="139">
        <v>0</v>
      </c>
      <c r="S124" s="139">
        <v>0</v>
      </c>
      <c r="T124" s="139">
        <v>0</v>
      </c>
      <c r="U124" s="139">
        <v>0</v>
      </c>
      <c r="V124" s="139">
        <v>0</v>
      </c>
      <c r="W124" s="139">
        <v>0</v>
      </c>
      <c r="X124" s="139">
        <v>0</v>
      </c>
      <c r="Y124" s="139">
        <v>0</v>
      </c>
      <c r="Z124" s="139">
        <v>0</v>
      </c>
      <c r="AA124" s="139">
        <v>0</v>
      </c>
      <c r="AB124" s="139">
        <v>0</v>
      </c>
      <c r="AC124" s="139">
        <v>0</v>
      </c>
      <c r="AD124" s="139">
        <v>0</v>
      </c>
      <c r="AE124" s="139">
        <v>33930</v>
      </c>
      <c r="AF124" s="139">
        <v>33930</v>
      </c>
      <c r="AG124" s="139">
        <v>33930</v>
      </c>
      <c r="AH124" s="139">
        <v>33930</v>
      </c>
      <c r="AI124" s="139">
        <v>33930</v>
      </c>
      <c r="AJ124" s="139">
        <v>33930</v>
      </c>
      <c r="AK124" s="139">
        <v>33930</v>
      </c>
      <c r="AL124" s="139">
        <v>33930</v>
      </c>
      <c r="AM124" s="139">
        <v>33930</v>
      </c>
      <c r="AN124" s="139">
        <v>33930</v>
      </c>
      <c r="AO124" s="139">
        <v>33930</v>
      </c>
      <c r="AP124" s="139">
        <v>33930</v>
      </c>
      <c r="AQ124" s="139">
        <v>57354</v>
      </c>
      <c r="AR124" s="139">
        <v>57354</v>
      </c>
      <c r="AS124" s="139">
        <v>44297</v>
      </c>
      <c r="AT124" s="139">
        <v>44297</v>
      </c>
      <c r="AU124" s="139">
        <v>44297</v>
      </c>
      <c r="AV124" s="140"/>
    </row>
    <row r="125" spans="2:48" ht="15.75" customHeight="1" x14ac:dyDescent="0.2">
      <c r="B125" s="136" t="s">
        <v>106</v>
      </c>
      <c r="C125" s="137">
        <v>0</v>
      </c>
      <c r="D125" s="138">
        <v>0</v>
      </c>
      <c r="E125" s="139">
        <v>0</v>
      </c>
      <c r="F125" s="139">
        <v>0</v>
      </c>
      <c r="G125" s="139">
        <v>0</v>
      </c>
      <c r="H125" s="139">
        <v>0</v>
      </c>
      <c r="I125" s="139">
        <v>0</v>
      </c>
      <c r="J125" s="139">
        <v>0</v>
      </c>
      <c r="K125" s="139">
        <v>0</v>
      </c>
      <c r="L125" s="139">
        <v>0</v>
      </c>
      <c r="M125" s="139">
        <v>0</v>
      </c>
      <c r="N125" s="139">
        <v>0</v>
      </c>
      <c r="O125" s="139">
        <v>0</v>
      </c>
      <c r="P125" s="139">
        <v>0</v>
      </c>
      <c r="Q125" s="139">
        <v>0</v>
      </c>
      <c r="R125" s="139">
        <v>0</v>
      </c>
      <c r="S125" s="139">
        <v>0</v>
      </c>
      <c r="T125" s="139">
        <v>0</v>
      </c>
      <c r="U125" s="139">
        <v>0</v>
      </c>
      <c r="V125" s="139">
        <v>0</v>
      </c>
      <c r="W125" s="139">
        <v>0</v>
      </c>
      <c r="X125" s="139">
        <v>0</v>
      </c>
      <c r="Y125" s="139">
        <v>0</v>
      </c>
      <c r="Z125" s="139">
        <v>0</v>
      </c>
      <c r="AA125" s="139">
        <v>0</v>
      </c>
      <c r="AB125" s="139">
        <v>0</v>
      </c>
      <c r="AC125" s="139">
        <v>0</v>
      </c>
      <c r="AD125" s="139">
        <v>0</v>
      </c>
      <c r="AE125" s="139">
        <v>25200</v>
      </c>
      <c r="AF125" s="139">
        <v>25200</v>
      </c>
      <c r="AG125" s="139">
        <v>25200</v>
      </c>
      <c r="AH125" s="139">
        <v>25200</v>
      </c>
      <c r="AI125" s="139">
        <v>25200</v>
      </c>
      <c r="AJ125" s="139">
        <v>25200</v>
      </c>
      <c r="AK125" s="139">
        <v>25200</v>
      </c>
      <c r="AL125" s="139">
        <v>25200</v>
      </c>
      <c r="AM125" s="139">
        <v>25200</v>
      </c>
      <c r="AN125" s="139">
        <v>25200</v>
      </c>
      <c r="AO125" s="139">
        <v>25200</v>
      </c>
      <c r="AP125" s="139">
        <v>25200</v>
      </c>
      <c r="AQ125" s="139">
        <v>48012</v>
      </c>
      <c r="AR125" s="139">
        <v>48012</v>
      </c>
      <c r="AS125" s="139">
        <v>48012</v>
      </c>
      <c r="AT125" s="139">
        <v>48012</v>
      </c>
      <c r="AU125" s="139">
        <v>48012</v>
      </c>
      <c r="AV125" s="140"/>
    </row>
    <row r="126" spans="2:48" ht="15.75" customHeight="1" x14ac:dyDescent="0.2">
      <c r="B126" s="136" t="s">
        <v>107</v>
      </c>
      <c r="C126" s="137">
        <v>0</v>
      </c>
      <c r="D126" s="138">
        <v>0</v>
      </c>
      <c r="E126" s="139">
        <v>0</v>
      </c>
      <c r="F126" s="139">
        <v>0</v>
      </c>
      <c r="G126" s="139">
        <v>0</v>
      </c>
      <c r="H126" s="139">
        <v>0</v>
      </c>
      <c r="I126" s="139">
        <v>0</v>
      </c>
      <c r="J126" s="139">
        <v>0</v>
      </c>
      <c r="K126" s="139">
        <v>0</v>
      </c>
      <c r="L126" s="139">
        <v>0</v>
      </c>
      <c r="M126" s="139">
        <v>0</v>
      </c>
      <c r="N126" s="139">
        <v>0</v>
      </c>
      <c r="O126" s="139">
        <v>0</v>
      </c>
      <c r="P126" s="139">
        <v>0</v>
      </c>
      <c r="Q126" s="139">
        <v>0</v>
      </c>
      <c r="R126" s="139">
        <v>0</v>
      </c>
      <c r="S126" s="139">
        <v>0</v>
      </c>
      <c r="T126" s="139">
        <v>0</v>
      </c>
      <c r="U126" s="139">
        <v>0</v>
      </c>
      <c r="V126" s="139">
        <v>0</v>
      </c>
      <c r="W126" s="139">
        <v>0</v>
      </c>
      <c r="X126" s="139">
        <v>0</v>
      </c>
      <c r="Y126" s="139">
        <v>0</v>
      </c>
      <c r="Z126" s="139">
        <v>0</v>
      </c>
      <c r="AA126" s="139">
        <v>0</v>
      </c>
      <c r="AB126" s="139">
        <v>0</v>
      </c>
      <c r="AC126" s="139">
        <v>0</v>
      </c>
      <c r="AD126" s="139">
        <v>0</v>
      </c>
      <c r="AE126" s="139">
        <v>25200</v>
      </c>
      <c r="AF126" s="139">
        <v>25200</v>
      </c>
      <c r="AG126" s="139">
        <v>25200</v>
      </c>
      <c r="AH126" s="139">
        <v>25200</v>
      </c>
      <c r="AI126" s="139">
        <v>25200</v>
      </c>
      <c r="AJ126" s="139">
        <v>25200</v>
      </c>
      <c r="AK126" s="139">
        <v>25200</v>
      </c>
      <c r="AL126" s="139">
        <v>25200</v>
      </c>
      <c r="AM126" s="139">
        <v>25200</v>
      </c>
      <c r="AN126" s="139">
        <v>25200</v>
      </c>
      <c r="AO126" s="139">
        <v>25200</v>
      </c>
      <c r="AP126" s="139">
        <v>25200</v>
      </c>
      <c r="AQ126" s="139">
        <v>54432</v>
      </c>
      <c r="AR126" s="139">
        <v>54432</v>
      </c>
      <c r="AS126" s="139">
        <v>54432</v>
      </c>
      <c r="AT126" s="139">
        <v>54432</v>
      </c>
      <c r="AU126" s="139">
        <v>54432</v>
      </c>
      <c r="AV126" s="140"/>
    </row>
    <row r="127" spans="2:48" ht="15.75" customHeight="1" x14ac:dyDescent="0.2">
      <c r="B127" s="136" t="s">
        <v>108</v>
      </c>
      <c r="C127" s="137">
        <v>0</v>
      </c>
      <c r="D127" s="138">
        <v>0</v>
      </c>
      <c r="E127" s="139">
        <v>0</v>
      </c>
      <c r="F127" s="139">
        <v>0</v>
      </c>
      <c r="G127" s="139">
        <v>0</v>
      </c>
      <c r="H127" s="139">
        <v>0</v>
      </c>
      <c r="I127" s="139">
        <v>0</v>
      </c>
      <c r="J127" s="139">
        <v>0</v>
      </c>
      <c r="K127" s="139">
        <v>0</v>
      </c>
      <c r="L127" s="139">
        <v>0</v>
      </c>
      <c r="M127" s="139">
        <v>0</v>
      </c>
      <c r="N127" s="139">
        <v>0</v>
      </c>
      <c r="O127" s="139">
        <v>0</v>
      </c>
      <c r="P127" s="139">
        <v>0</v>
      </c>
      <c r="Q127" s="139">
        <v>0</v>
      </c>
      <c r="R127" s="139">
        <v>0</v>
      </c>
      <c r="S127" s="139">
        <v>0</v>
      </c>
      <c r="T127" s="139">
        <v>0</v>
      </c>
      <c r="U127" s="139">
        <v>0</v>
      </c>
      <c r="V127" s="139">
        <v>0</v>
      </c>
      <c r="W127" s="139">
        <v>0</v>
      </c>
      <c r="X127" s="139">
        <v>0</v>
      </c>
      <c r="Y127" s="139">
        <v>0</v>
      </c>
      <c r="Z127" s="139">
        <v>0</v>
      </c>
      <c r="AA127" s="139">
        <v>0</v>
      </c>
      <c r="AB127" s="139">
        <v>0</v>
      </c>
      <c r="AC127" s="139">
        <v>0</v>
      </c>
      <c r="AD127" s="139">
        <v>0</v>
      </c>
      <c r="AE127" s="139">
        <v>14400</v>
      </c>
      <c r="AF127" s="139">
        <v>14400</v>
      </c>
      <c r="AG127" s="139">
        <v>14400</v>
      </c>
      <c r="AH127" s="139">
        <v>14400</v>
      </c>
      <c r="AI127" s="139">
        <v>14400</v>
      </c>
      <c r="AJ127" s="139">
        <v>14400</v>
      </c>
      <c r="AK127" s="139">
        <v>14400</v>
      </c>
      <c r="AL127" s="139">
        <v>14400</v>
      </c>
      <c r="AM127" s="139">
        <v>14400</v>
      </c>
      <c r="AN127" s="139">
        <v>14400</v>
      </c>
      <c r="AO127" s="139">
        <v>14400</v>
      </c>
      <c r="AP127" s="139">
        <v>27720</v>
      </c>
      <c r="AQ127" s="139">
        <v>27720</v>
      </c>
      <c r="AR127" s="139">
        <v>27720</v>
      </c>
      <c r="AS127" s="139">
        <v>27720</v>
      </c>
      <c r="AT127" s="139">
        <v>27720</v>
      </c>
      <c r="AU127" s="139">
        <v>27720</v>
      </c>
      <c r="AV127" s="140"/>
    </row>
    <row r="128" spans="2:48" ht="15.75" customHeight="1" x14ac:dyDescent="0.2">
      <c r="B128" s="136" t="s">
        <v>109</v>
      </c>
      <c r="C128" s="137">
        <v>0</v>
      </c>
      <c r="D128" s="138">
        <v>0</v>
      </c>
      <c r="E128" s="139">
        <v>0</v>
      </c>
      <c r="F128" s="139">
        <v>0</v>
      </c>
      <c r="G128" s="139">
        <v>0</v>
      </c>
      <c r="H128" s="139">
        <v>0</v>
      </c>
      <c r="I128" s="139">
        <v>0</v>
      </c>
      <c r="J128" s="139">
        <v>0</v>
      </c>
      <c r="K128" s="139">
        <v>0</v>
      </c>
      <c r="L128" s="139">
        <v>0</v>
      </c>
      <c r="M128" s="139">
        <v>0</v>
      </c>
      <c r="N128" s="139">
        <v>0</v>
      </c>
      <c r="O128" s="139">
        <v>0</v>
      </c>
      <c r="P128" s="139">
        <v>0</v>
      </c>
      <c r="Q128" s="139">
        <v>0</v>
      </c>
      <c r="R128" s="139">
        <v>0</v>
      </c>
      <c r="S128" s="139">
        <v>0</v>
      </c>
      <c r="T128" s="139">
        <v>0</v>
      </c>
      <c r="U128" s="139">
        <v>0</v>
      </c>
      <c r="V128" s="139">
        <v>0</v>
      </c>
      <c r="W128" s="139">
        <v>0</v>
      </c>
      <c r="X128" s="139">
        <v>0</v>
      </c>
      <c r="Y128" s="139">
        <v>0</v>
      </c>
      <c r="Z128" s="139">
        <v>0</v>
      </c>
      <c r="AA128" s="139">
        <v>0</v>
      </c>
      <c r="AB128" s="139">
        <v>0</v>
      </c>
      <c r="AC128" s="139">
        <v>0</v>
      </c>
      <c r="AD128" s="139">
        <v>0</v>
      </c>
      <c r="AE128" s="139">
        <v>17472</v>
      </c>
      <c r="AF128" s="139">
        <v>17472</v>
      </c>
      <c r="AG128" s="139">
        <v>17472</v>
      </c>
      <c r="AH128" s="139">
        <v>17472</v>
      </c>
      <c r="AI128" s="139">
        <v>17472</v>
      </c>
      <c r="AJ128" s="139">
        <v>17472</v>
      </c>
      <c r="AK128" s="139">
        <v>17472</v>
      </c>
      <c r="AL128" s="139">
        <v>17472</v>
      </c>
      <c r="AM128" s="139">
        <v>17472</v>
      </c>
      <c r="AN128" s="139">
        <v>17472</v>
      </c>
      <c r="AO128" s="139">
        <v>17472</v>
      </c>
      <c r="AP128" s="139">
        <v>17472</v>
      </c>
      <c r="AQ128" s="139">
        <v>23520</v>
      </c>
      <c r="AR128" s="139">
        <v>23520</v>
      </c>
      <c r="AS128" s="139">
        <v>23520</v>
      </c>
      <c r="AT128" s="139">
        <v>23520</v>
      </c>
      <c r="AU128" s="139">
        <v>23520</v>
      </c>
      <c r="AV128" s="140"/>
    </row>
    <row r="129" spans="2:48" ht="15.75" customHeight="1" x14ac:dyDescent="0.2">
      <c r="B129" s="136" t="s">
        <v>110</v>
      </c>
      <c r="C129" s="137">
        <v>0</v>
      </c>
      <c r="D129" s="138">
        <v>0</v>
      </c>
      <c r="E129" s="139">
        <v>0</v>
      </c>
      <c r="F129" s="139">
        <v>0</v>
      </c>
      <c r="G129" s="139">
        <v>0</v>
      </c>
      <c r="H129" s="139">
        <v>0</v>
      </c>
      <c r="I129" s="139">
        <v>0</v>
      </c>
      <c r="J129" s="139">
        <v>0</v>
      </c>
      <c r="K129" s="139">
        <v>0</v>
      </c>
      <c r="L129" s="139">
        <v>0</v>
      </c>
      <c r="M129" s="139">
        <v>0</v>
      </c>
      <c r="N129" s="139">
        <v>0</v>
      </c>
      <c r="O129" s="139">
        <v>0</v>
      </c>
      <c r="P129" s="139">
        <v>0</v>
      </c>
      <c r="Q129" s="139">
        <v>0</v>
      </c>
      <c r="R129" s="139">
        <v>0</v>
      </c>
      <c r="S129" s="139">
        <v>0</v>
      </c>
      <c r="T129" s="139">
        <v>0</v>
      </c>
      <c r="U129" s="139">
        <v>0</v>
      </c>
      <c r="V129" s="139">
        <v>0</v>
      </c>
      <c r="W129" s="139">
        <v>0</v>
      </c>
      <c r="X129" s="139">
        <v>0</v>
      </c>
      <c r="Y129" s="139">
        <v>0</v>
      </c>
      <c r="Z129" s="139">
        <v>0</v>
      </c>
      <c r="AA129" s="139">
        <v>0</v>
      </c>
      <c r="AB129" s="139">
        <v>0</v>
      </c>
      <c r="AC129" s="139">
        <v>0</v>
      </c>
      <c r="AD129" s="139">
        <v>0</v>
      </c>
      <c r="AE129" s="139">
        <v>6005</v>
      </c>
      <c r="AF129" s="139">
        <v>6005</v>
      </c>
      <c r="AG129" s="139">
        <v>6005</v>
      </c>
      <c r="AH129" s="139">
        <v>6005</v>
      </c>
      <c r="AI129" s="139">
        <v>6005</v>
      </c>
      <c r="AJ129" s="139">
        <v>6005</v>
      </c>
      <c r="AK129" s="139">
        <v>6005</v>
      </c>
      <c r="AL129" s="139">
        <v>6005</v>
      </c>
      <c r="AM129" s="139">
        <v>6005</v>
      </c>
      <c r="AN129" s="139">
        <v>6005</v>
      </c>
      <c r="AO129" s="139">
        <v>6005</v>
      </c>
      <c r="AP129" s="139">
        <v>6005</v>
      </c>
      <c r="AQ129" s="139">
        <v>14412</v>
      </c>
      <c r="AR129" s="139">
        <v>14412</v>
      </c>
      <c r="AS129" s="139">
        <v>14412</v>
      </c>
      <c r="AT129" s="139">
        <v>14412</v>
      </c>
      <c r="AU129" s="139">
        <v>14412</v>
      </c>
      <c r="AV129" s="140"/>
    </row>
    <row r="130" spans="2:48" ht="15.75" customHeight="1" x14ac:dyDescent="0.2">
      <c r="B130" s="136" t="s">
        <v>111</v>
      </c>
      <c r="C130" s="137">
        <v>0</v>
      </c>
      <c r="D130" s="138">
        <v>0</v>
      </c>
      <c r="E130" s="139">
        <v>0</v>
      </c>
      <c r="F130" s="139">
        <v>0</v>
      </c>
      <c r="G130" s="139">
        <v>0</v>
      </c>
      <c r="H130" s="139">
        <v>0</v>
      </c>
      <c r="I130" s="139">
        <v>0</v>
      </c>
      <c r="J130" s="139">
        <v>0</v>
      </c>
      <c r="K130" s="139">
        <v>0</v>
      </c>
      <c r="L130" s="139">
        <v>0</v>
      </c>
      <c r="M130" s="139">
        <v>0</v>
      </c>
      <c r="N130" s="139">
        <v>0</v>
      </c>
      <c r="O130" s="139">
        <v>0</v>
      </c>
      <c r="P130" s="139">
        <v>0</v>
      </c>
      <c r="Q130" s="139">
        <v>0</v>
      </c>
      <c r="R130" s="139">
        <v>0</v>
      </c>
      <c r="S130" s="139">
        <v>0</v>
      </c>
      <c r="T130" s="139">
        <v>0</v>
      </c>
      <c r="U130" s="139">
        <v>0</v>
      </c>
      <c r="V130" s="139">
        <v>0</v>
      </c>
      <c r="W130" s="139">
        <v>0</v>
      </c>
      <c r="X130" s="139">
        <v>0</v>
      </c>
      <c r="Y130" s="139">
        <v>0</v>
      </c>
      <c r="Z130" s="139">
        <v>0</v>
      </c>
      <c r="AA130" s="139">
        <v>0</v>
      </c>
      <c r="AB130" s="139">
        <v>0</v>
      </c>
      <c r="AC130" s="139">
        <v>0</v>
      </c>
      <c r="AD130" s="139">
        <v>0</v>
      </c>
      <c r="AE130" s="139">
        <v>6000</v>
      </c>
      <c r="AF130" s="139">
        <v>6000</v>
      </c>
      <c r="AG130" s="139">
        <v>6000</v>
      </c>
      <c r="AH130" s="139">
        <v>6000</v>
      </c>
      <c r="AI130" s="139">
        <v>6000</v>
      </c>
      <c r="AJ130" s="139">
        <v>6000</v>
      </c>
      <c r="AK130" s="139">
        <v>6000</v>
      </c>
      <c r="AL130" s="139">
        <v>6000</v>
      </c>
      <c r="AM130" s="139">
        <v>6000</v>
      </c>
      <c r="AN130" s="139">
        <v>6000</v>
      </c>
      <c r="AO130" s="139">
        <v>6000</v>
      </c>
      <c r="AP130" s="139">
        <v>6000</v>
      </c>
      <c r="AQ130" s="139">
        <v>6000</v>
      </c>
      <c r="AR130" s="139">
        <v>6000</v>
      </c>
      <c r="AS130" s="139">
        <v>6000</v>
      </c>
      <c r="AT130" s="139">
        <v>6000</v>
      </c>
      <c r="AU130" s="139">
        <v>6000</v>
      </c>
      <c r="AV130" s="140"/>
    </row>
    <row r="131" spans="2:48" ht="15.75" customHeight="1" x14ac:dyDescent="0.2">
      <c r="B131" s="136" t="s">
        <v>112</v>
      </c>
      <c r="C131" s="137">
        <v>0</v>
      </c>
      <c r="D131" s="138">
        <v>0</v>
      </c>
      <c r="E131" s="139">
        <v>0</v>
      </c>
      <c r="F131" s="139">
        <v>0</v>
      </c>
      <c r="G131" s="139">
        <v>0</v>
      </c>
      <c r="H131" s="139">
        <v>0</v>
      </c>
      <c r="I131" s="139">
        <v>0</v>
      </c>
      <c r="J131" s="139">
        <v>0</v>
      </c>
      <c r="K131" s="139">
        <v>0</v>
      </c>
      <c r="L131" s="139">
        <v>0</v>
      </c>
      <c r="M131" s="139">
        <v>0</v>
      </c>
      <c r="N131" s="139">
        <v>0</v>
      </c>
      <c r="O131" s="139">
        <v>0</v>
      </c>
      <c r="P131" s="139">
        <v>0</v>
      </c>
      <c r="Q131" s="139">
        <v>0</v>
      </c>
      <c r="R131" s="139">
        <v>0</v>
      </c>
      <c r="S131" s="139">
        <v>0</v>
      </c>
      <c r="T131" s="139">
        <v>0</v>
      </c>
      <c r="U131" s="139">
        <v>0</v>
      </c>
      <c r="V131" s="139">
        <v>0</v>
      </c>
      <c r="W131" s="139">
        <v>0</v>
      </c>
      <c r="X131" s="139">
        <v>0</v>
      </c>
      <c r="Y131" s="139">
        <v>0</v>
      </c>
      <c r="Z131" s="139">
        <v>0</v>
      </c>
      <c r="AA131" s="139">
        <v>0</v>
      </c>
      <c r="AB131" s="139">
        <v>0</v>
      </c>
      <c r="AC131" s="139">
        <v>0</v>
      </c>
      <c r="AD131" s="139">
        <v>0</v>
      </c>
      <c r="AE131" s="139">
        <v>9554</v>
      </c>
      <c r="AF131" s="139">
        <v>9554</v>
      </c>
      <c r="AG131" s="139">
        <v>9554</v>
      </c>
      <c r="AH131" s="139">
        <v>9554</v>
      </c>
      <c r="AI131" s="139">
        <v>9554</v>
      </c>
      <c r="AJ131" s="139">
        <v>9554</v>
      </c>
      <c r="AK131" s="139">
        <v>9554</v>
      </c>
      <c r="AL131" s="139">
        <v>9554</v>
      </c>
      <c r="AM131" s="139">
        <v>9554</v>
      </c>
      <c r="AN131" s="139">
        <v>9554</v>
      </c>
      <c r="AO131" s="139">
        <v>9554</v>
      </c>
      <c r="AP131" s="139">
        <v>9554</v>
      </c>
      <c r="AQ131" s="139">
        <v>25715</v>
      </c>
      <c r="AR131" s="139">
        <v>25715</v>
      </c>
      <c r="AS131" s="139">
        <v>25715</v>
      </c>
      <c r="AT131" s="139">
        <v>25715</v>
      </c>
      <c r="AU131" s="139">
        <v>25715</v>
      </c>
      <c r="AV131" s="140"/>
    </row>
    <row r="132" spans="2:48" ht="15.75" customHeight="1" x14ac:dyDescent="0.2">
      <c r="B132" s="136" t="s">
        <v>113</v>
      </c>
      <c r="C132" s="137">
        <v>0</v>
      </c>
      <c r="D132" s="138">
        <v>0</v>
      </c>
      <c r="E132" s="139">
        <v>0</v>
      </c>
      <c r="F132" s="139">
        <v>0</v>
      </c>
      <c r="G132" s="139">
        <v>0</v>
      </c>
      <c r="H132" s="139">
        <v>0</v>
      </c>
      <c r="I132" s="139">
        <v>0</v>
      </c>
      <c r="J132" s="139">
        <v>0</v>
      </c>
      <c r="K132" s="139">
        <v>0</v>
      </c>
      <c r="L132" s="139">
        <v>0</v>
      </c>
      <c r="M132" s="139">
        <v>0</v>
      </c>
      <c r="N132" s="139">
        <v>0</v>
      </c>
      <c r="O132" s="139">
        <v>0</v>
      </c>
      <c r="P132" s="139">
        <v>0</v>
      </c>
      <c r="Q132" s="139">
        <v>0</v>
      </c>
      <c r="R132" s="139">
        <v>0</v>
      </c>
      <c r="S132" s="139">
        <v>0</v>
      </c>
      <c r="T132" s="139">
        <v>0</v>
      </c>
      <c r="U132" s="139">
        <v>0</v>
      </c>
      <c r="V132" s="139">
        <v>0</v>
      </c>
      <c r="W132" s="139">
        <v>0</v>
      </c>
      <c r="X132" s="139">
        <v>0</v>
      </c>
      <c r="Y132" s="139">
        <v>0</v>
      </c>
      <c r="Z132" s="139">
        <v>0</v>
      </c>
      <c r="AA132" s="139">
        <v>0</v>
      </c>
      <c r="AB132" s="139">
        <v>0</v>
      </c>
      <c r="AC132" s="139">
        <v>0</v>
      </c>
      <c r="AD132" s="139">
        <v>0</v>
      </c>
      <c r="AE132" s="139">
        <v>174996</v>
      </c>
      <c r="AF132" s="139">
        <v>174996</v>
      </c>
      <c r="AG132" s="139">
        <v>174996</v>
      </c>
      <c r="AH132" s="139">
        <v>174996</v>
      </c>
      <c r="AI132" s="139">
        <v>174996</v>
      </c>
      <c r="AJ132" s="139">
        <v>174996</v>
      </c>
      <c r="AK132" s="139">
        <v>174996</v>
      </c>
      <c r="AL132" s="139">
        <v>174996</v>
      </c>
      <c r="AM132" s="139">
        <v>174996</v>
      </c>
      <c r="AN132" s="139">
        <v>200004</v>
      </c>
      <c r="AO132" s="139">
        <v>200004</v>
      </c>
      <c r="AP132" s="139">
        <v>200004</v>
      </c>
      <c r="AQ132" s="139">
        <v>200004</v>
      </c>
      <c r="AR132" s="139">
        <v>200004</v>
      </c>
      <c r="AS132" s="139">
        <v>200004</v>
      </c>
      <c r="AT132" s="139">
        <v>200004</v>
      </c>
      <c r="AU132" s="139">
        <v>200004</v>
      </c>
      <c r="AV132" s="140"/>
    </row>
    <row r="133" spans="2:48" ht="15.75" customHeight="1" x14ac:dyDescent="0.2">
      <c r="B133" s="136" t="s">
        <v>114</v>
      </c>
      <c r="C133" s="137">
        <v>0</v>
      </c>
      <c r="D133" s="138">
        <v>0</v>
      </c>
      <c r="E133" s="139">
        <v>0</v>
      </c>
      <c r="F133" s="139">
        <v>0</v>
      </c>
      <c r="G133" s="139">
        <v>0</v>
      </c>
      <c r="H133" s="139">
        <v>0</v>
      </c>
      <c r="I133" s="139">
        <v>0</v>
      </c>
      <c r="J133" s="139">
        <v>0</v>
      </c>
      <c r="K133" s="139">
        <v>0</v>
      </c>
      <c r="L133" s="139">
        <v>0</v>
      </c>
      <c r="M133" s="139">
        <v>0</v>
      </c>
      <c r="N133" s="139">
        <v>0</v>
      </c>
      <c r="O133" s="139">
        <v>0</v>
      </c>
      <c r="P133" s="139">
        <v>0</v>
      </c>
      <c r="Q133" s="139">
        <v>0</v>
      </c>
      <c r="R133" s="139">
        <v>0</v>
      </c>
      <c r="S133" s="139">
        <v>0</v>
      </c>
      <c r="T133" s="139">
        <v>0</v>
      </c>
      <c r="U133" s="139">
        <v>0</v>
      </c>
      <c r="V133" s="139">
        <v>0</v>
      </c>
      <c r="W133" s="139">
        <v>0</v>
      </c>
      <c r="X133" s="139">
        <v>0</v>
      </c>
      <c r="Y133" s="139">
        <v>0</v>
      </c>
      <c r="Z133" s="139">
        <v>0</v>
      </c>
      <c r="AA133" s="139">
        <v>0</v>
      </c>
      <c r="AB133" s="139">
        <v>0</v>
      </c>
      <c r="AC133" s="139">
        <v>0</v>
      </c>
      <c r="AD133" s="139">
        <v>0</v>
      </c>
      <c r="AE133" s="139">
        <v>39936</v>
      </c>
      <c r="AF133" s="139">
        <v>39936</v>
      </c>
      <c r="AG133" s="139">
        <v>39936</v>
      </c>
      <c r="AH133" s="139">
        <v>39936</v>
      </c>
      <c r="AI133" s="139">
        <v>39936</v>
      </c>
      <c r="AJ133" s="139">
        <v>39936</v>
      </c>
      <c r="AK133" s="139">
        <v>39936</v>
      </c>
      <c r="AL133" s="139">
        <v>39936</v>
      </c>
      <c r="AM133" s="139">
        <v>39936</v>
      </c>
      <c r="AN133" s="139">
        <v>39936</v>
      </c>
      <c r="AO133" s="139">
        <v>39936</v>
      </c>
      <c r="AP133" s="139">
        <v>39936</v>
      </c>
      <c r="AQ133" s="139">
        <v>74531</v>
      </c>
      <c r="AR133" s="139">
        <v>74531</v>
      </c>
      <c r="AS133" s="139">
        <v>74531</v>
      </c>
      <c r="AT133" s="139">
        <v>74531</v>
      </c>
      <c r="AU133" s="139">
        <v>74531</v>
      </c>
      <c r="AV133" s="140"/>
    </row>
    <row r="134" spans="2:48" ht="15.75" customHeight="1" x14ac:dyDescent="0.2">
      <c r="B134" s="136" t="s">
        <v>115</v>
      </c>
      <c r="C134" s="137">
        <v>0</v>
      </c>
      <c r="D134" s="138">
        <v>0</v>
      </c>
      <c r="E134" s="139">
        <v>0</v>
      </c>
      <c r="F134" s="139">
        <v>0</v>
      </c>
      <c r="G134" s="139">
        <v>0</v>
      </c>
      <c r="H134" s="139">
        <v>0</v>
      </c>
      <c r="I134" s="139">
        <v>0</v>
      </c>
      <c r="J134" s="139">
        <v>0</v>
      </c>
      <c r="K134" s="139">
        <v>0</v>
      </c>
      <c r="L134" s="139">
        <v>0</v>
      </c>
      <c r="M134" s="139">
        <v>0</v>
      </c>
      <c r="N134" s="139">
        <v>0</v>
      </c>
      <c r="O134" s="139">
        <v>0</v>
      </c>
      <c r="P134" s="139">
        <v>0</v>
      </c>
      <c r="Q134" s="139">
        <v>0</v>
      </c>
      <c r="R134" s="139">
        <v>0</v>
      </c>
      <c r="S134" s="139">
        <v>0</v>
      </c>
      <c r="T134" s="139">
        <v>0</v>
      </c>
      <c r="U134" s="139">
        <v>0</v>
      </c>
      <c r="V134" s="139">
        <v>0</v>
      </c>
      <c r="W134" s="139">
        <v>0</v>
      </c>
      <c r="X134" s="139">
        <v>0</v>
      </c>
      <c r="Y134" s="139">
        <v>0</v>
      </c>
      <c r="Z134" s="139">
        <v>0</v>
      </c>
      <c r="AA134" s="139">
        <v>0</v>
      </c>
      <c r="AB134" s="139">
        <v>0</v>
      </c>
      <c r="AC134" s="139">
        <v>0</v>
      </c>
      <c r="AD134" s="139">
        <v>0</v>
      </c>
      <c r="AE134" s="139">
        <v>10320</v>
      </c>
      <c r="AF134" s="139">
        <v>10320</v>
      </c>
      <c r="AG134" s="139">
        <v>10320</v>
      </c>
      <c r="AH134" s="139">
        <v>10320</v>
      </c>
      <c r="AI134" s="139">
        <v>10320</v>
      </c>
      <c r="AJ134" s="139">
        <v>10320</v>
      </c>
      <c r="AK134" s="139">
        <v>10320</v>
      </c>
      <c r="AL134" s="139">
        <v>10320</v>
      </c>
      <c r="AM134" s="139">
        <v>10320</v>
      </c>
      <c r="AN134" s="139">
        <v>10320</v>
      </c>
      <c r="AO134" s="139">
        <v>10320</v>
      </c>
      <c r="AP134" s="139">
        <v>10320</v>
      </c>
      <c r="AQ134" s="139">
        <v>14742</v>
      </c>
      <c r="AR134" s="139">
        <v>14742</v>
      </c>
      <c r="AS134" s="139">
        <v>14742</v>
      </c>
      <c r="AT134" s="139">
        <v>14742</v>
      </c>
      <c r="AU134" s="139">
        <v>14742</v>
      </c>
      <c r="AV134" s="140"/>
    </row>
    <row r="135" spans="2:48" ht="15.75" customHeight="1" x14ac:dyDescent="0.2">
      <c r="B135" s="136" t="s">
        <v>116</v>
      </c>
      <c r="C135" s="137">
        <v>0</v>
      </c>
      <c r="D135" s="138">
        <v>0</v>
      </c>
      <c r="E135" s="139">
        <v>0</v>
      </c>
      <c r="F135" s="139">
        <v>0</v>
      </c>
      <c r="G135" s="139">
        <v>0</v>
      </c>
      <c r="H135" s="139">
        <v>0</v>
      </c>
      <c r="I135" s="139">
        <v>0</v>
      </c>
      <c r="J135" s="139">
        <v>0</v>
      </c>
      <c r="K135" s="139">
        <v>0</v>
      </c>
      <c r="L135" s="139">
        <v>0</v>
      </c>
      <c r="M135" s="139">
        <v>0</v>
      </c>
      <c r="N135" s="139">
        <v>0</v>
      </c>
      <c r="O135" s="139">
        <v>0</v>
      </c>
      <c r="P135" s="139">
        <v>0</v>
      </c>
      <c r="Q135" s="139">
        <v>0</v>
      </c>
      <c r="R135" s="139">
        <v>0</v>
      </c>
      <c r="S135" s="139">
        <v>0</v>
      </c>
      <c r="T135" s="139">
        <v>0</v>
      </c>
      <c r="U135" s="139">
        <v>0</v>
      </c>
      <c r="V135" s="139">
        <v>0</v>
      </c>
      <c r="W135" s="139">
        <v>0</v>
      </c>
      <c r="X135" s="139">
        <v>0</v>
      </c>
      <c r="Y135" s="139">
        <v>0</v>
      </c>
      <c r="Z135" s="139">
        <v>0</v>
      </c>
      <c r="AA135" s="139">
        <v>0</v>
      </c>
      <c r="AB135" s="139">
        <v>0</v>
      </c>
      <c r="AC135" s="139">
        <v>0</v>
      </c>
      <c r="AD135" s="139">
        <v>0</v>
      </c>
      <c r="AE135" s="139">
        <v>12000</v>
      </c>
      <c r="AF135" s="139">
        <v>12000</v>
      </c>
      <c r="AG135" s="139">
        <v>12000</v>
      </c>
      <c r="AH135" s="139">
        <v>12000</v>
      </c>
      <c r="AI135" s="139">
        <v>12000</v>
      </c>
      <c r="AJ135" s="139">
        <v>12000</v>
      </c>
      <c r="AK135" s="139">
        <v>12000</v>
      </c>
      <c r="AL135" s="139">
        <v>12000</v>
      </c>
      <c r="AM135" s="139">
        <v>12000</v>
      </c>
      <c r="AN135" s="139">
        <v>12000</v>
      </c>
      <c r="AO135" s="139">
        <v>12000</v>
      </c>
      <c r="AP135" s="139">
        <v>12000</v>
      </c>
      <c r="AQ135" s="139">
        <v>12000</v>
      </c>
      <c r="AR135" s="139">
        <v>22927</v>
      </c>
      <c r="AS135" s="139">
        <v>52927</v>
      </c>
      <c r="AT135" s="139">
        <v>52927</v>
      </c>
      <c r="AU135" s="139">
        <v>52927</v>
      </c>
      <c r="AV135" s="140"/>
    </row>
    <row r="136" spans="2:48" ht="15.75" customHeight="1" x14ac:dyDescent="0.2">
      <c r="B136" s="136" t="s">
        <v>117</v>
      </c>
      <c r="C136" s="137">
        <v>0</v>
      </c>
      <c r="D136" s="138">
        <v>0</v>
      </c>
      <c r="E136" s="139">
        <v>0</v>
      </c>
      <c r="F136" s="139">
        <v>0</v>
      </c>
      <c r="G136" s="139">
        <v>0</v>
      </c>
      <c r="H136" s="139">
        <v>0</v>
      </c>
      <c r="I136" s="139">
        <v>0</v>
      </c>
      <c r="J136" s="139">
        <v>0</v>
      </c>
      <c r="K136" s="139">
        <v>0</v>
      </c>
      <c r="L136" s="139">
        <v>0</v>
      </c>
      <c r="M136" s="139">
        <v>0</v>
      </c>
      <c r="N136" s="139">
        <v>0</v>
      </c>
      <c r="O136" s="139">
        <v>0</v>
      </c>
      <c r="P136" s="139">
        <v>0</v>
      </c>
      <c r="Q136" s="139">
        <v>0</v>
      </c>
      <c r="R136" s="139">
        <v>0</v>
      </c>
      <c r="S136" s="139">
        <v>0</v>
      </c>
      <c r="T136" s="139">
        <v>0</v>
      </c>
      <c r="U136" s="139">
        <v>0</v>
      </c>
      <c r="V136" s="139">
        <v>0</v>
      </c>
      <c r="W136" s="139">
        <v>0</v>
      </c>
      <c r="X136" s="139">
        <v>0</v>
      </c>
      <c r="Y136" s="139">
        <v>0</v>
      </c>
      <c r="Z136" s="139">
        <v>0</v>
      </c>
      <c r="AA136" s="139">
        <v>0</v>
      </c>
      <c r="AB136" s="139">
        <v>0</v>
      </c>
      <c r="AC136" s="139">
        <v>0</v>
      </c>
      <c r="AD136" s="139">
        <v>0</v>
      </c>
      <c r="AE136" s="139">
        <v>27000</v>
      </c>
      <c r="AF136" s="139">
        <v>27000</v>
      </c>
      <c r="AG136" s="139">
        <v>27000</v>
      </c>
      <c r="AH136" s="139">
        <v>27000</v>
      </c>
      <c r="AI136" s="139">
        <v>27000</v>
      </c>
      <c r="AJ136" s="139">
        <v>27000</v>
      </c>
      <c r="AK136" s="139">
        <v>27000</v>
      </c>
      <c r="AL136" s="139">
        <v>27000</v>
      </c>
      <c r="AM136" s="139">
        <v>27000</v>
      </c>
      <c r="AN136" s="139">
        <v>27000</v>
      </c>
      <c r="AO136" s="139">
        <v>27000</v>
      </c>
      <c r="AP136" s="139">
        <v>27000</v>
      </c>
      <c r="AQ136" s="139">
        <v>42444</v>
      </c>
      <c r="AR136" s="139">
        <v>42444</v>
      </c>
      <c r="AS136" s="139">
        <v>42444</v>
      </c>
      <c r="AT136" s="139">
        <v>42444</v>
      </c>
      <c r="AU136" s="139">
        <v>42444</v>
      </c>
      <c r="AV136" s="140"/>
    </row>
    <row r="137" spans="2:48" ht="15.75" customHeight="1" x14ac:dyDescent="0.2">
      <c r="B137" s="136" t="s">
        <v>118</v>
      </c>
      <c r="C137" s="137">
        <v>0</v>
      </c>
      <c r="D137" s="138">
        <v>0</v>
      </c>
      <c r="E137" s="139">
        <v>0</v>
      </c>
      <c r="F137" s="139">
        <v>0</v>
      </c>
      <c r="G137" s="139">
        <v>0</v>
      </c>
      <c r="H137" s="139">
        <v>0</v>
      </c>
      <c r="I137" s="139">
        <v>0</v>
      </c>
      <c r="J137" s="139">
        <v>0</v>
      </c>
      <c r="K137" s="139">
        <v>0</v>
      </c>
      <c r="L137" s="139">
        <v>0</v>
      </c>
      <c r="M137" s="139">
        <v>0</v>
      </c>
      <c r="N137" s="139">
        <v>0</v>
      </c>
      <c r="O137" s="139">
        <v>0</v>
      </c>
      <c r="P137" s="139">
        <v>0</v>
      </c>
      <c r="Q137" s="139">
        <v>0</v>
      </c>
      <c r="R137" s="139">
        <v>0</v>
      </c>
      <c r="S137" s="139">
        <v>0</v>
      </c>
      <c r="T137" s="139">
        <v>0</v>
      </c>
      <c r="U137" s="139">
        <v>0</v>
      </c>
      <c r="V137" s="139">
        <v>0</v>
      </c>
      <c r="W137" s="139">
        <v>0</v>
      </c>
      <c r="X137" s="139">
        <v>0</v>
      </c>
      <c r="Y137" s="139">
        <v>0</v>
      </c>
      <c r="Z137" s="139">
        <v>0</v>
      </c>
      <c r="AA137" s="139">
        <v>0</v>
      </c>
      <c r="AB137" s="139">
        <v>0</v>
      </c>
      <c r="AC137" s="139">
        <v>0</v>
      </c>
      <c r="AD137" s="139">
        <v>0</v>
      </c>
      <c r="AE137" s="139">
        <v>151704</v>
      </c>
      <c r="AF137" s="139">
        <v>151704</v>
      </c>
      <c r="AG137" s="139">
        <v>151704</v>
      </c>
      <c r="AH137" s="139">
        <v>151704</v>
      </c>
      <c r="AI137" s="139">
        <v>151704</v>
      </c>
      <c r="AJ137" s="139">
        <v>151704</v>
      </c>
      <c r="AK137" s="139">
        <v>151704</v>
      </c>
      <c r="AL137" s="139">
        <v>151704</v>
      </c>
      <c r="AM137" s="139">
        <v>151704</v>
      </c>
      <c r="AN137" s="139">
        <v>151704</v>
      </c>
      <c r="AO137" s="139">
        <v>151704</v>
      </c>
      <c r="AP137" s="139">
        <v>206640</v>
      </c>
      <c r="AQ137" s="139">
        <v>206640</v>
      </c>
      <c r="AR137" s="139">
        <v>206640</v>
      </c>
      <c r="AS137" s="139">
        <v>206640</v>
      </c>
      <c r="AT137" s="139">
        <v>206640</v>
      </c>
      <c r="AU137" s="139">
        <v>206640</v>
      </c>
      <c r="AV137" s="140"/>
    </row>
    <row r="138" spans="2:48" ht="15.75" customHeight="1" x14ac:dyDescent="0.2">
      <c r="B138" s="136" t="s">
        <v>119</v>
      </c>
      <c r="C138" s="137">
        <v>0</v>
      </c>
      <c r="D138" s="138">
        <v>0</v>
      </c>
      <c r="E138" s="139">
        <v>0</v>
      </c>
      <c r="F138" s="139">
        <v>0</v>
      </c>
      <c r="G138" s="139">
        <v>0</v>
      </c>
      <c r="H138" s="139">
        <v>0</v>
      </c>
      <c r="I138" s="139">
        <v>0</v>
      </c>
      <c r="J138" s="139">
        <v>0</v>
      </c>
      <c r="K138" s="139">
        <v>0</v>
      </c>
      <c r="L138" s="139">
        <v>0</v>
      </c>
      <c r="M138" s="139">
        <v>0</v>
      </c>
      <c r="N138" s="139">
        <v>0</v>
      </c>
      <c r="O138" s="139">
        <v>0</v>
      </c>
      <c r="P138" s="139">
        <v>0</v>
      </c>
      <c r="Q138" s="139">
        <v>0</v>
      </c>
      <c r="R138" s="139">
        <v>0</v>
      </c>
      <c r="S138" s="139">
        <v>0</v>
      </c>
      <c r="T138" s="139">
        <v>0</v>
      </c>
      <c r="U138" s="139">
        <v>0</v>
      </c>
      <c r="V138" s="139">
        <v>0</v>
      </c>
      <c r="W138" s="139">
        <v>0</v>
      </c>
      <c r="X138" s="139">
        <v>0</v>
      </c>
      <c r="Y138" s="139">
        <v>0</v>
      </c>
      <c r="Z138" s="139">
        <v>0</v>
      </c>
      <c r="AA138" s="139">
        <v>0</v>
      </c>
      <c r="AB138" s="139">
        <v>0</v>
      </c>
      <c r="AC138" s="139">
        <v>0</v>
      </c>
      <c r="AD138" s="139">
        <v>0</v>
      </c>
      <c r="AE138" s="139">
        <v>0</v>
      </c>
      <c r="AF138" s="139">
        <v>12012</v>
      </c>
      <c r="AG138" s="139">
        <v>12012</v>
      </c>
      <c r="AH138" s="139">
        <v>12012</v>
      </c>
      <c r="AI138" s="139">
        <v>12012</v>
      </c>
      <c r="AJ138" s="139">
        <v>12012</v>
      </c>
      <c r="AK138" s="139">
        <v>12012</v>
      </c>
      <c r="AL138" s="139">
        <v>12012</v>
      </c>
      <c r="AM138" s="139">
        <v>12012</v>
      </c>
      <c r="AN138" s="139">
        <v>12012</v>
      </c>
      <c r="AO138" s="139">
        <v>12012</v>
      </c>
      <c r="AP138" s="139">
        <v>12012</v>
      </c>
      <c r="AQ138" s="139">
        <v>12012</v>
      </c>
      <c r="AR138" s="139">
        <v>16681</v>
      </c>
      <c r="AS138" s="139">
        <v>16681</v>
      </c>
      <c r="AT138" s="139">
        <v>16681</v>
      </c>
      <c r="AU138" s="139">
        <v>16681</v>
      </c>
      <c r="AV138" s="140"/>
    </row>
    <row r="139" spans="2:48" ht="15.75" customHeight="1" x14ac:dyDescent="0.2">
      <c r="B139" s="136" t="s">
        <v>120</v>
      </c>
      <c r="C139" s="137">
        <v>0</v>
      </c>
      <c r="D139" s="138">
        <v>0</v>
      </c>
      <c r="E139" s="139">
        <v>0</v>
      </c>
      <c r="F139" s="139">
        <v>0</v>
      </c>
      <c r="G139" s="139">
        <v>0</v>
      </c>
      <c r="H139" s="139">
        <v>0</v>
      </c>
      <c r="I139" s="139">
        <v>0</v>
      </c>
      <c r="J139" s="139">
        <v>0</v>
      </c>
      <c r="K139" s="139">
        <v>0</v>
      </c>
      <c r="L139" s="139">
        <v>0</v>
      </c>
      <c r="M139" s="139">
        <v>0</v>
      </c>
      <c r="N139" s="139">
        <v>0</v>
      </c>
      <c r="O139" s="139">
        <v>0</v>
      </c>
      <c r="P139" s="139">
        <v>0</v>
      </c>
      <c r="Q139" s="139">
        <v>0</v>
      </c>
      <c r="R139" s="139">
        <v>0</v>
      </c>
      <c r="S139" s="139">
        <v>0</v>
      </c>
      <c r="T139" s="139">
        <v>0</v>
      </c>
      <c r="U139" s="139">
        <v>0</v>
      </c>
      <c r="V139" s="139">
        <v>0</v>
      </c>
      <c r="W139" s="139">
        <v>0</v>
      </c>
      <c r="X139" s="139">
        <v>0</v>
      </c>
      <c r="Y139" s="139">
        <v>0</v>
      </c>
      <c r="Z139" s="139">
        <v>0</v>
      </c>
      <c r="AA139" s="139">
        <v>0</v>
      </c>
      <c r="AB139" s="139">
        <v>0</v>
      </c>
      <c r="AC139" s="139">
        <v>0</v>
      </c>
      <c r="AD139" s="139">
        <v>0</v>
      </c>
      <c r="AE139" s="139">
        <v>0</v>
      </c>
      <c r="AF139" s="139">
        <v>7344</v>
      </c>
      <c r="AG139" s="139">
        <v>7344</v>
      </c>
      <c r="AH139" s="139">
        <v>7344</v>
      </c>
      <c r="AI139" s="139">
        <v>7344</v>
      </c>
      <c r="AJ139" s="139">
        <v>7344</v>
      </c>
      <c r="AK139" s="139">
        <v>7344</v>
      </c>
      <c r="AL139" s="139">
        <v>7344</v>
      </c>
      <c r="AM139" s="139">
        <v>7344</v>
      </c>
      <c r="AN139" s="139">
        <v>7344</v>
      </c>
      <c r="AO139" s="139">
        <v>7344</v>
      </c>
      <c r="AP139" s="139">
        <v>7344</v>
      </c>
      <c r="AQ139" s="139">
        <v>7344</v>
      </c>
      <c r="AR139" s="139">
        <v>16177</v>
      </c>
      <c r="AS139" s="139">
        <v>16177</v>
      </c>
      <c r="AT139" s="139">
        <v>16177</v>
      </c>
      <c r="AU139" s="139">
        <v>16177</v>
      </c>
      <c r="AV139" s="140"/>
    </row>
    <row r="140" spans="2:48" ht="15.75" customHeight="1" x14ac:dyDescent="0.2">
      <c r="B140" s="136" t="s">
        <v>121</v>
      </c>
      <c r="C140" s="137">
        <v>0</v>
      </c>
      <c r="D140" s="138">
        <v>0</v>
      </c>
      <c r="E140" s="139">
        <v>0</v>
      </c>
      <c r="F140" s="139">
        <v>0</v>
      </c>
      <c r="G140" s="139">
        <v>0</v>
      </c>
      <c r="H140" s="139">
        <v>0</v>
      </c>
      <c r="I140" s="139">
        <v>0</v>
      </c>
      <c r="J140" s="139">
        <v>0</v>
      </c>
      <c r="K140" s="139">
        <v>0</v>
      </c>
      <c r="L140" s="139">
        <v>0</v>
      </c>
      <c r="M140" s="139">
        <v>0</v>
      </c>
      <c r="N140" s="139">
        <v>0</v>
      </c>
      <c r="O140" s="139">
        <v>0</v>
      </c>
      <c r="P140" s="139">
        <v>0</v>
      </c>
      <c r="Q140" s="139">
        <v>0</v>
      </c>
      <c r="R140" s="139">
        <v>0</v>
      </c>
      <c r="S140" s="139">
        <v>0</v>
      </c>
      <c r="T140" s="139">
        <v>0</v>
      </c>
      <c r="U140" s="139">
        <v>0</v>
      </c>
      <c r="V140" s="139">
        <v>0</v>
      </c>
      <c r="W140" s="139">
        <v>0</v>
      </c>
      <c r="X140" s="139">
        <v>0</v>
      </c>
      <c r="Y140" s="139">
        <v>0</v>
      </c>
      <c r="Z140" s="139">
        <v>0</v>
      </c>
      <c r="AA140" s="139">
        <v>0</v>
      </c>
      <c r="AB140" s="139">
        <v>0</v>
      </c>
      <c r="AC140" s="139">
        <v>0</v>
      </c>
      <c r="AD140" s="139">
        <v>0</v>
      </c>
      <c r="AE140" s="139">
        <v>0</v>
      </c>
      <c r="AF140" s="139">
        <v>3360</v>
      </c>
      <c r="AG140" s="139">
        <v>3360</v>
      </c>
      <c r="AH140" s="139">
        <v>3360</v>
      </c>
      <c r="AI140" s="139">
        <v>3360</v>
      </c>
      <c r="AJ140" s="139">
        <v>3360</v>
      </c>
      <c r="AK140" s="139">
        <v>3360</v>
      </c>
      <c r="AL140" s="139">
        <v>3360</v>
      </c>
      <c r="AM140" s="139">
        <v>3360</v>
      </c>
      <c r="AN140" s="139">
        <v>3360</v>
      </c>
      <c r="AO140" s="139">
        <v>3360</v>
      </c>
      <c r="AP140" s="139">
        <v>3360</v>
      </c>
      <c r="AQ140" s="139">
        <v>3360</v>
      </c>
      <c r="AR140" s="139">
        <v>5328</v>
      </c>
      <c r="AS140" s="139">
        <v>5328</v>
      </c>
      <c r="AT140" s="139">
        <v>5328</v>
      </c>
      <c r="AU140" s="139">
        <v>5328</v>
      </c>
      <c r="AV140" s="140"/>
    </row>
    <row r="141" spans="2:48" ht="15.75" customHeight="1" x14ac:dyDescent="0.2">
      <c r="B141" s="136" t="s">
        <v>122</v>
      </c>
      <c r="C141" s="137">
        <v>0</v>
      </c>
      <c r="D141" s="138">
        <v>0</v>
      </c>
      <c r="E141" s="139">
        <v>0</v>
      </c>
      <c r="F141" s="139">
        <v>0</v>
      </c>
      <c r="G141" s="139">
        <v>0</v>
      </c>
      <c r="H141" s="139">
        <v>0</v>
      </c>
      <c r="I141" s="139">
        <v>0</v>
      </c>
      <c r="J141" s="139">
        <v>0</v>
      </c>
      <c r="K141" s="139">
        <v>0</v>
      </c>
      <c r="L141" s="139">
        <v>0</v>
      </c>
      <c r="M141" s="139">
        <v>0</v>
      </c>
      <c r="N141" s="139">
        <v>0</v>
      </c>
      <c r="O141" s="139">
        <v>0</v>
      </c>
      <c r="P141" s="139">
        <v>0</v>
      </c>
      <c r="Q141" s="139">
        <v>0</v>
      </c>
      <c r="R141" s="139">
        <v>0</v>
      </c>
      <c r="S141" s="139">
        <v>0</v>
      </c>
      <c r="T141" s="139">
        <v>0</v>
      </c>
      <c r="U141" s="139">
        <v>0</v>
      </c>
      <c r="V141" s="139">
        <v>0</v>
      </c>
      <c r="W141" s="139">
        <v>0</v>
      </c>
      <c r="X141" s="139">
        <v>0</v>
      </c>
      <c r="Y141" s="139">
        <v>0</v>
      </c>
      <c r="Z141" s="139">
        <v>0</v>
      </c>
      <c r="AA141" s="139">
        <v>0</v>
      </c>
      <c r="AB141" s="139">
        <v>0</v>
      </c>
      <c r="AC141" s="139">
        <v>0</v>
      </c>
      <c r="AD141" s="139">
        <v>0</v>
      </c>
      <c r="AE141" s="139">
        <v>0</v>
      </c>
      <c r="AF141" s="139">
        <v>17280</v>
      </c>
      <c r="AG141" s="139">
        <v>17280</v>
      </c>
      <c r="AH141" s="139">
        <v>17280</v>
      </c>
      <c r="AI141" s="139">
        <v>17280</v>
      </c>
      <c r="AJ141" s="139">
        <v>17280</v>
      </c>
      <c r="AK141" s="139">
        <v>17280</v>
      </c>
      <c r="AL141" s="139">
        <v>17280</v>
      </c>
      <c r="AM141" s="139">
        <v>17280</v>
      </c>
      <c r="AN141" s="139">
        <v>17280</v>
      </c>
      <c r="AO141" s="139">
        <v>17280</v>
      </c>
      <c r="AP141" s="139">
        <v>17280</v>
      </c>
      <c r="AQ141" s="139">
        <v>17280</v>
      </c>
      <c r="AR141" s="139">
        <v>17280</v>
      </c>
      <c r="AS141" s="139">
        <v>17280</v>
      </c>
      <c r="AT141" s="139">
        <v>17280</v>
      </c>
      <c r="AU141" s="139">
        <v>17280</v>
      </c>
      <c r="AV141" s="140"/>
    </row>
    <row r="142" spans="2:48" ht="15.75" customHeight="1" x14ac:dyDescent="0.2">
      <c r="B142" s="136" t="s">
        <v>123</v>
      </c>
      <c r="C142" s="137">
        <v>0</v>
      </c>
      <c r="D142" s="138">
        <v>0</v>
      </c>
      <c r="E142" s="139">
        <v>0</v>
      </c>
      <c r="F142" s="139">
        <v>0</v>
      </c>
      <c r="G142" s="139">
        <v>0</v>
      </c>
      <c r="H142" s="139">
        <v>0</v>
      </c>
      <c r="I142" s="139">
        <v>0</v>
      </c>
      <c r="J142" s="139">
        <v>0</v>
      </c>
      <c r="K142" s="139">
        <v>0</v>
      </c>
      <c r="L142" s="139">
        <v>0</v>
      </c>
      <c r="M142" s="139">
        <v>0</v>
      </c>
      <c r="N142" s="139">
        <v>0</v>
      </c>
      <c r="O142" s="139">
        <v>0</v>
      </c>
      <c r="P142" s="139">
        <v>0</v>
      </c>
      <c r="Q142" s="139">
        <v>0</v>
      </c>
      <c r="R142" s="139">
        <v>0</v>
      </c>
      <c r="S142" s="139">
        <v>0</v>
      </c>
      <c r="T142" s="139">
        <v>0</v>
      </c>
      <c r="U142" s="139">
        <v>0</v>
      </c>
      <c r="V142" s="139">
        <v>0</v>
      </c>
      <c r="W142" s="139">
        <v>0</v>
      </c>
      <c r="X142" s="139">
        <v>0</v>
      </c>
      <c r="Y142" s="139">
        <v>0</v>
      </c>
      <c r="Z142" s="139">
        <v>0</v>
      </c>
      <c r="AA142" s="139">
        <v>0</v>
      </c>
      <c r="AB142" s="139">
        <v>0</v>
      </c>
      <c r="AC142" s="139">
        <v>0</v>
      </c>
      <c r="AD142" s="139">
        <v>0</v>
      </c>
      <c r="AE142" s="139">
        <v>0</v>
      </c>
      <c r="AF142" s="139">
        <v>6000</v>
      </c>
      <c r="AG142" s="139">
        <v>6000</v>
      </c>
      <c r="AH142" s="139">
        <v>6000</v>
      </c>
      <c r="AI142" s="139">
        <v>6000</v>
      </c>
      <c r="AJ142" s="139">
        <v>6000</v>
      </c>
      <c r="AK142" s="139">
        <v>6000</v>
      </c>
      <c r="AL142" s="139">
        <v>6000</v>
      </c>
      <c r="AM142" s="139">
        <v>6000</v>
      </c>
      <c r="AN142" s="139">
        <v>6000</v>
      </c>
      <c r="AO142" s="139">
        <v>6000</v>
      </c>
      <c r="AP142" s="139">
        <v>6000</v>
      </c>
      <c r="AQ142" s="139">
        <v>6000</v>
      </c>
      <c r="AR142" s="139">
        <v>6000</v>
      </c>
      <c r="AS142" s="139">
        <v>6000</v>
      </c>
      <c r="AT142" s="139">
        <v>6000</v>
      </c>
      <c r="AU142" s="139">
        <v>6000</v>
      </c>
      <c r="AV142" s="140"/>
    </row>
    <row r="143" spans="2:48" ht="15.75" customHeight="1" x14ac:dyDescent="0.2">
      <c r="B143" s="136" t="s">
        <v>124</v>
      </c>
      <c r="C143" s="137">
        <v>0</v>
      </c>
      <c r="D143" s="138">
        <v>0</v>
      </c>
      <c r="E143" s="139">
        <v>0</v>
      </c>
      <c r="F143" s="139">
        <v>0</v>
      </c>
      <c r="G143" s="139">
        <v>0</v>
      </c>
      <c r="H143" s="139">
        <v>0</v>
      </c>
      <c r="I143" s="139">
        <v>0</v>
      </c>
      <c r="J143" s="139">
        <v>0</v>
      </c>
      <c r="K143" s="139">
        <v>0</v>
      </c>
      <c r="L143" s="139">
        <v>0</v>
      </c>
      <c r="M143" s="139">
        <v>0</v>
      </c>
      <c r="N143" s="139">
        <v>0</v>
      </c>
      <c r="O143" s="139">
        <v>0</v>
      </c>
      <c r="P143" s="139">
        <v>0</v>
      </c>
      <c r="Q143" s="139">
        <v>0</v>
      </c>
      <c r="R143" s="139">
        <v>0</v>
      </c>
      <c r="S143" s="139">
        <v>0</v>
      </c>
      <c r="T143" s="139">
        <v>0</v>
      </c>
      <c r="U143" s="139">
        <v>0</v>
      </c>
      <c r="V143" s="139">
        <v>0</v>
      </c>
      <c r="W143" s="139">
        <v>0</v>
      </c>
      <c r="X143" s="139">
        <v>0</v>
      </c>
      <c r="Y143" s="139">
        <v>0</v>
      </c>
      <c r="Z143" s="139">
        <v>0</v>
      </c>
      <c r="AA143" s="139">
        <v>0</v>
      </c>
      <c r="AB143" s="139">
        <v>0</v>
      </c>
      <c r="AC143" s="139">
        <v>0</v>
      </c>
      <c r="AD143" s="139">
        <v>0</v>
      </c>
      <c r="AE143" s="139">
        <v>0</v>
      </c>
      <c r="AF143" s="139">
        <v>10944</v>
      </c>
      <c r="AG143" s="139">
        <v>10944</v>
      </c>
      <c r="AH143" s="139">
        <v>10944</v>
      </c>
      <c r="AI143" s="139">
        <v>10944</v>
      </c>
      <c r="AJ143" s="139">
        <v>10944</v>
      </c>
      <c r="AK143" s="139">
        <v>10944</v>
      </c>
      <c r="AL143" s="139">
        <v>10944</v>
      </c>
      <c r="AM143" s="139">
        <v>10944</v>
      </c>
      <c r="AN143" s="139">
        <v>10944</v>
      </c>
      <c r="AO143" s="139">
        <v>10944</v>
      </c>
      <c r="AP143" s="139">
        <v>10944</v>
      </c>
      <c r="AQ143" s="139">
        <v>10944</v>
      </c>
      <c r="AR143" s="139">
        <v>12672</v>
      </c>
      <c r="AS143" s="139">
        <v>12672</v>
      </c>
      <c r="AT143" s="139">
        <v>12672</v>
      </c>
      <c r="AU143" s="139">
        <v>12672</v>
      </c>
      <c r="AV143" s="140"/>
    </row>
    <row r="144" spans="2:48" ht="15.75" customHeight="1" x14ac:dyDescent="0.2">
      <c r="B144" s="136" t="s">
        <v>125</v>
      </c>
      <c r="C144" s="137">
        <v>0</v>
      </c>
      <c r="D144" s="138">
        <v>0</v>
      </c>
      <c r="E144" s="139">
        <v>0</v>
      </c>
      <c r="F144" s="139">
        <v>0</v>
      </c>
      <c r="G144" s="139">
        <v>0</v>
      </c>
      <c r="H144" s="139">
        <v>0</v>
      </c>
      <c r="I144" s="139">
        <v>0</v>
      </c>
      <c r="J144" s="139">
        <v>0</v>
      </c>
      <c r="K144" s="139">
        <v>0</v>
      </c>
      <c r="L144" s="139">
        <v>0</v>
      </c>
      <c r="M144" s="139">
        <v>0</v>
      </c>
      <c r="N144" s="139">
        <v>0</v>
      </c>
      <c r="O144" s="139">
        <v>0</v>
      </c>
      <c r="P144" s="139">
        <v>0</v>
      </c>
      <c r="Q144" s="139">
        <v>0</v>
      </c>
      <c r="R144" s="139">
        <v>0</v>
      </c>
      <c r="S144" s="139">
        <v>0</v>
      </c>
      <c r="T144" s="139">
        <v>0</v>
      </c>
      <c r="U144" s="139">
        <v>0</v>
      </c>
      <c r="V144" s="139">
        <v>0</v>
      </c>
      <c r="W144" s="139">
        <v>0</v>
      </c>
      <c r="X144" s="139">
        <v>0</v>
      </c>
      <c r="Y144" s="139">
        <v>0</v>
      </c>
      <c r="Z144" s="139">
        <v>0</v>
      </c>
      <c r="AA144" s="139">
        <v>0</v>
      </c>
      <c r="AB144" s="139">
        <v>0</v>
      </c>
      <c r="AC144" s="139">
        <v>0</v>
      </c>
      <c r="AD144" s="139">
        <v>0</v>
      </c>
      <c r="AE144" s="139">
        <v>0</v>
      </c>
      <c r="AF144" s="139">
        <v>12000</v>
      </c>
      <c r="AG144" s="139">
        <v>12000</v>
      </c>
      <c r="AH144" s="139">
        <v>12000</v>
      </c>
      <c r="AI144" s="139">
        <v>12000</v>
      </c>
      <c r="AJ144" s="139">
        <v>12000</v>
      </c>
      <c r="AK144" s="139">
        <v>12000</v>
      </c>
      <c r="AL144" s="139">
        <v>12000</v>
      </c>
      <c r="AM144" s="139">
        <v>12000</v>
      </c>
      <c r="AN144" s="139">
        <v>12000</v>
      </c>
      <c r="AO144" s="139">
        <v>12000</v>
      </c>
      <c r="AP144" s="139">
        <v>12000</v>
      </c>
      <c r="AQ144" s="139">
        <v>12000</v>
      </c>
      <c r="AR144" s="139">
        <v>12000</v>
      </c>
      <c r="AS144" s="139">
        <v>0</v>
      </c>
      <c r="AT144" s="139">
        <v>0</v>
      </c>
      <c r="AU144" s="139">
        <v>0</v>
      </c>
      <c r="AV144" s="140"/>
    </row>
    <row r="145" spans="2:48" ht="15.75" customHeight="1" x14ac:dyDescent="0.2">
      <c r="B145" s="136" t="s">
        <v>126</v>
      </c>
      <c r="C145" s="137">
        <v>0</v>
      </c>
      <c r="D145" s="138">
        <v>0</v>
      </c>
      <c r="E145" s="139">
        <v>0</v>
      </c>
      <c r="F145" s="139">
        <v>0</v>
      </c>
      <c r="G145" s="139">
        <v>0</v>
      </c>
      <c r="H145" s="139">
        <v>0</v>
      </c>
      <c r="I145" s="139">
        <v>0</v>
      </c>
      <c r="J145" s="139">
        <v>0</v>
      </c>
      <c r="K145" s="139">
        <v>0</v>
      </c>
      <c r="L145" s="139">
        <v>0</v>
      </c>
      <c r="M145" s="139">
        <v>0</v>
      </c>
      <c r="N145" s="139">
        <v>0</v>
      </c>
      <c r="O145" s="139">
        <v>0</v>
      </c>
      <c r="P145" s="139">
        <v>0</v>
      </c>
      <c r="Q145" s="139">
        <v>0</v>
      </c>
      <c r="R145" s="139">
        <v>0</v>
      </c>
      <c r="S145" s="139">
        <v>0</v>
      </c>
      <c r="T145" s="139">
        <v>0</v>
      </c>
      <c r="U145" s="139">
        <v>0</v>
      </c>
      <c r="V145" s="139">
        <v>0</v>
      </c>
      <c r="W145" s="139">
        <v>0</v>
      </c>
      <c r="X145" s="139">
        <v>0</v>
      </c>
      <c r="Y145" s="139">
        <v>0</v>
      </c>
      <c r="Z145" s="139">
        <v>0</v>
      </c>
      <c r="AA145" s="139">
        <v>0</v>
      </c>
      <c r="AB145" s="139">
        <v>0</v>
      </c>
      <c r="AC145" s="139">
        <v>0</v>
      </c>
      <c r="AD145" s="139">
        <v>0</v>
      </c>
      <c r="AE145" s="139">
        <v>0</v>
      </c>
      <c r="AF145" s="139">
        <v>9994</v>
      </c>
      <c r="AG145" s="139">
        <v>9994</v>
      </c>
      <c r="AH145" s="139">
        <v>9994</v>
      </c>
      <c r="AI145" s="139">
        <v>9994</v>
      </c>
      <c r="AJ145" s="139">
        <v>9994</v>
      </c>
      <c r="AK145" s="139">
        <v>9994</v>
      </c>
      <c r="AL145" s="139">
        <v>9994</v>
      </c>
      <c r="AM145" s="139">
        <v>9994</v>
      </c>
      <c r="AN145" s="139">
        <v>9994</v>
      </c>
      <c r="AO145" s="139">
        <v>9994</v>
      </c>
      <c r="AP145" s="139">
        <v>9994</v>
      </c>
      <c r="AQ145" s="139">
        <v>9994</v>
      </c>
      <c r="AR145" s="139">
        <v>9994</v>
      </c>
      <c r="AS145" s="139">
        <v>9994</v>
      </c>
      <c r="AT145" s="139">
        <v>9994</v>
      </c>
      <c r="AU145" s="139">
        <v>0</v>
      </c>
      <c r="AV145" s="140"/>
    </row>
    <row r="146" spans="2:48" ht="15.75" customHeight="1" x14ac:dyDescent="0.2">
      <c r="B146" s="136" t="s">
        <v>127</v>
      </c>
      <c r="C146" s="137">
        <v>0</v>
      </c>
      <c r="D146" s="138">
        <v>0</v>
      </c>
      <c r="E146" s="139">
        <v>0</v>
      </c>
      <c r="F146" s="139">
        <v>0</v>
      </c>
      <c r="G146" s="139">
        <v>0</v>
      </c>
      <c r="H146" s="139">
        <v>0</v>
      </c>
      <c r="I146" s="139">
        <v>0</v>
      </c>
      <c r="J146" s="139">
        <v>0</v>
      </c>
      <c r="K146" s="139">
        <v>0</v>
      </c>
      <c r="L146" s="139">
        <v>0</v>
      </c>
      <c r="M146" s="139">
        <v>0</v>
      </c>
      <c r="N146" s="139">
        <v>0</v>
      </c>
      <c r="O146" s="139">
        <v>0</v>
      </c>
      <c r="P146" s="139">
        <v>0</v>
      </c>
      <c r="Q146" s="139">
        <v>0</v>
      </c>
      <c r="R146" s="139">
        <v>0</v>
      </c>
      <c r="S146" s="139">
        <v>0</v>
      </c>
      <c r="T146" s="139">
        <v>0</v>
      </c>
      <c r="U146" s="139">
        <v>0</v>
      </c>
      <c r="V146" s="139">
        <v>0</v>
      </c>
      <c r="W146" s="139">
        <v>0</v>
      </c>
      <c r="X146" s="139">
        <v>0</v>
      </c>
      <c r="Y146" s="139">
        <v>0</v>
      </c>
      <c r="Z146" s="139">
        <v>0</v>
      </c>
      <c r="AA146" s="139">
        <v>0</v>
      </c>
      <c r="AB146" s="139">
        <v>0</v>
      </c>
      <c r="AC146" s="139">
        <v>0</v>
      </c>
      <c r="AD146" s="139">
        <v>0</v>
      </c>
      <c r="AE146" s="139">
        <v>0</v>
      </c>
      <c r="AF146" s="139">
        <v>4002</v>
      </c>
      <c r="AG146" s="139">
        <v>4002</v>
      </c>
      <c r="AH146" s="139">
        <v>4002</v>
      </c>
      <c r="AI146" s="139">
        <v>4002</v>
      </c>
      <c r="AJ146" s="139">
        <v>4002</v>
      </c>
      <c r="AK146" s="139">
        <v>4002</v>
      </c>
      <c r="AL146" s="139">
        <v>4002</v>
      </c>
      <c r="AM146" s="139">
        <v>4002</v>
      </c>
      <c r="AN146" s="139">
        <v>4002</v>
      </c>
      <c r="AO146" s="139">
        <v>4002</v>
      </c>
      <c r="AP146" s="139">
        <v>4002</v>
      </c>
      <c r="AQ146" s="139">
        <v>4002</v>
      </c>
      <c r="AR146" s="139">
        <v>4402</v>
      </c>
      <c r="AS146" s="139">
        <v>4402</v>
      </c>
      <c r="AT146" s="139">
        <v>4402</v>
      </c>
      <c r="AU146" s="139">
        <v>4402</v>
      </c>
      <c r="AV146" s="140"/>
    </row>
    <row r="147" spans="2:48" ht="15.75" customHeight="1" x14ac:dyDescent="0.2">
      <c r="B147" s="136" t="s">
        <v>128</v>
      </c>
      <c r="C147" s="137">
        <v>0</v>
      </c>
      <c r="D147" s="138">
        <v>0</v>
      </c>
      <c r="E147" s="139">
        <v>0</v>
      </c>
      <c r="F147" s="139">
        <v>0</v>
      </c>
      <c r="G147" s="139">
        <v>0</v>
      </c>
      <c r="H147" s="139">
        <v>0</v>
      </c>
      <c r="I147" s="139">
        <v>0</v>
      </c>
      <c r="J147" s="139">
        <v>0</v>
      </c>
      <c r="K147" s="139">
        <v>0</v>
      </c>
      <c r="L147" s="139">
        <v>0</v>
      </c>
      <c r="M147" s="139">
        <v>0</v>
      </c>
      <c r="N147" s="139">
        <v>0</v>
      </c>
      <c r="O147" s="139">
        <v>0</v>
      </c>
      <c r="P147" s="139">
        <v>0</v>
      </c>
      <c r="Q147" s="139">
        <v>0</v>
      </c>
      <c r="R147" s="139">
        <v>0</v>
      </c>
      <c r="S147" s="139">
        <v>0</v>
      </c>
      <c r="T147" s="139">
        <v>0</v>
      </c>
      <c r="U147" s="139">
        <v>0</v>
      </c>
      <c r="V147" s="139">
        <v>0</v>
      </c>
      <c r="W147" s="139">
        <v>0</v>
      </c>
      <c r="X147" s="139">
        <v>0</v>
      </c>
      <c r="Y147" s="139">
        <v>0</v>
      </c>
      <c r="Z147" s="139">
        <v>0</v>
      </c>
      <c r="AA147" s="139">
        <v>0</v>
      </c>
      <c r="AB147" s="139">
        <v>0</v>
      </c>
      <c r="AC147" s="139">
        <v>0</v>
      </c>
      <c r="AD147" s="139">
        <v>0</v>
      </c>
      <c r="AE147" s="139">
        <v>0</v>
      </c>
      <c r="AF147" s="139">
        <v>7500</v>
      </c>
      <c r="AG147" s="139">
        <v>7500</v>
      </c>
      <c r="AH147" s="139">
        <v>7500</v>
      </c>
      <c r="AI147" s="139">
        <v>7500</v>
      </c>
      <c r="AJ147" s="139">
        <v>7500</v>
      </c>
      <c r="AK147" s="139">
        <v>7500</v>
      </c>
      <c r="AL147" s="139">
        <v>7500</v>
      </c>
      <c r="AM147" s="139">
        <v>7500</v>
      </c>
      <c r="AN147" s="139">
        <v>7500</v>
      </c>
      <c r="AO147" s="139">
        <v>7500</v>
      </c>
      <c r="AP147" s="139">
        <v>7500</v>
      </c>
      <c r="AQ147" s="139">
        <v>7500</v>
      </c>
      <c r="AR147" s="139">
        <v>13320</v>
      </c>
      <c r="AS147" s="139">
        <v>13320</v>
      </c>
      <c r="AT147" s="139">
        <v>13320</v>
      </c>
      <c r="AU147" s="139">
        <v>13320</v>
      </c>
      <c r="AV147" s="140"/>
    </row>
    <row r="148" spans="2:48" ht="15.75" customHeight="1" x14ac:dyDescent="0.2">
      <c r="B148" s="136" t="s">
        <v>129</v>
      </c>
      <c r="C148" s="137">
        <v>0</v>
      </c>
      <c r="D148" s="138">
        <v>0</v>
      </c>
      <c r="E148" s="139">
        <v>0</v>
      </c>
      <c r="F148" s="139">
        <v>0</v>
      </c>
      <c r="G148" s="139">
        <v>0</v>
      </c>
      <c r="H148" s="139">
        <v>0</v>
      </c>
      <c r="I148" s="139">
        <v>0</v>
      </c>
      <c r="J148" s="139">
        <v>0</v>
      </c>
      <c r="K148" s="139">
        <v>0</v>
      </c>
      <c r="L148" s="139">
        <v>0</v>
      </c>
      <c r="M148" s="139">
        <v>0</v>
      </c>
      <c r="N148" s="139">
        <v>0</v>
      </c>
      <c r="O148" s="139">
        <v>0</v>
      </c>
      <c r="P148" s="139">
        <v>0</v>
      </c>
      <c r="Q148" s="139">
        <v>0</v>
      </c>
      <c r="R148" s="139">
        <v>0</v>
      </c>
      <c r="S148" s="139">
        <v>0</v>
      </c>
      <c r="T148" s="139">
        <v>0</v>
      </c>
      <c r="U148" s="139">
        <v>0</v>
      </c>
      <c r="V148" s="139">
        <v>0</v>
      </c>
      <c r="W148" s="139">
        <v>0</v>
      </c>
      <c r="X148" s="139">
        <v>0</v>
      </c>
      <c r="Y148" s="139">
        <v>0</v>
      </c>
      <c r="Z148" s="139">
        <v>0</v>
      </c>
      <c r="AA148" s="139">
        <v>0</v>
      </c>
      <c r="AB148" s="139">
        <v>0</v>
      </c>
      <c r="AC148" s="139">
        <v>0</v>
      </c>
      <c r="AD148" s="139">
        <v>0</v>
      </c>
      <c r="AE148" s="139">
        <v>0</v>
      </c>
      <c r="AF148" s="139">
        <v>28584</v>
      </c>
      <c r="AG148" s="139">
        <v>28584</v>
      </c>
      <c r="AH148" s="139">
        <v>28584</v>
      </c>
      <c r="AI148" s="139">
        <v>28584</v>
      </c>
      <c r="AJ148" s="139">
        <v>28584</v>
      </c>
      <c r="AK148" s="139">
        <v>28584</v>
      </c>
      <c r="AL148" s="139">
        <v>28584</v>
      </c>
      <c r="AM148" s="139">
        <v>28584</v>
      </c>
      <c r="AN148" s="139">
        <v>28584</v>
      </c>
      <c r="AO148" s="139">
        <v>28584</v>
      </c>
      <c r="AP148" s="139">
        <v>28584</v>
      </c>
      <c r="AQ148" s="139">
        <v>28584</v>
      </c>
      <c r="AR148" s="139">
        <v>46440</v>
      </c>
      <c r="AS148" s="139">
        <v>46440</v>
      </c>
      <c r="AT148" s="139">
        <v>46440</v>
      </c>
      <c r="AU148" s="139">
        <v>46440</v>
      </c>
      <c r="AV148" s="140"/>
    </row>
    <row r="149" spans="2:48" ht="15.75" customHeight="1" x14ac:dyDescent="0.2">
      <c r="B149" s="136" t="s">
        <v>130</v>
      </c>
      <c r="C149" s="137">
        <v>0</v>
      </c>
      <c r="D149" s="138">
        <v>0</v>
      </c>
      <c r="E149" s="139">
        <v>0</v>
      </c>
      <c r="F149" s="139">
        <v>0</v>
      </c>
      <c r="G149" s="139">
        <v>0</v>
      </c>
      <c r="H149" s="139">
        <v>0</v>
      </c>
      <c r="I149" s="139">
        <v>0</v>
      </c>
      <c r="J149" s="139">
        <v>0</v>
      </c>
      <c r="K149" s="139">
        <v>0</v>
      </c>
      <c r="L149" s="139">
        <v>0</v>
      </c>
      <c r="M149" s="139">
        <v>0</v>
      </c>
      <c r="N149" s="139">
        <v>0</v>
      </c>
      <c r="O149" s="139">
        <v>0</v>
      </c>
      <c r="P149" s="139">
        <v>0</v>
      </c>
      <c r="Q149" s="139">
        <v>0</v>
      </c>
      <c r="R149" s="139">
        <v>0</v>
      </c>
      <c r="S149" s="139">
        <v>0</v>
      </c>
      <c r="T149" s="139">
        <v>0</v>
      </c>
      <c r="U149" s="139">
        <v>0</v>
      </c>
      <c r="V149" s="139">
        <v>0</v>
      </c>
      <c r="W149" s="139">
        <v>0</v>
      </c>
      <c r="X149" s="139">
        <v>0</v>
      </c>
      <c r="Y149" s="139">
        <v>0</v>
      </c>
      <c r="Z149" s="139">
        <v>0</v>
      </c>
      <c r="AA149" s="139">
        <v>0</v>
      </c>
      <c r="AB149" s="139">
        <v>0</v>
      </c>
      <c r="AC149" s="139">
        <v>0</v>
      </c>
      <c r="AD149" s="139">
        <v>0</v>
      </c>
      <c r="AE149" s="139">
        <v>0</v>
      </c>
      <c r="AF149" s="139">
        <v>18360</v>
      </c>
      <c r="AG149" s="139">
        <v>18360</v>
      </c>
      <c r="AH149" s="139">
        <v>18360</v>
      </c>
      <c r="AI149" s="139">
        <v>18360</v>
      </c>
      <c r="AJ149" s="139">
        <v>18360</v>
      </c>
      <c r="AK149" s="139">
        <v>18360</v>
      </c>
      <c r="AL149" s="139">
        <v>18360</v>
      </c>
      <c r="AM149" s="139">
        <v>18360</v>
      </c>
      <c r="AN149" s="139">
        <v>18360</v>
      </c>
      <c r="AO149" s="139">
        <v>18360</v>
      </c>
      <c r="AP149" s="139">
        <v>18360</v>
      </c>
      <c r="AQ149" s="139">
        <v>18360</v>
      </c>
      <c r="AR149" s="139">
        <v>30096</v>
      </c>
      <c r="AS149" s="139">
        <v>30096</v>
      </c>
      <c r="AT149" s="139">
        <v>30096</v>
      </c>
      <c r="AU149" s="139">
        <v>30096</v>
      </c>
      <c r="AV149" s="140"/>
    </row>
    <row r="150" spans="2:48" ht="15.75" customHeight="1" x14ac:dyDescent="0.2">
      <c r="B150" s="136" t="s">
        <v>131</v>
      </c>
      <c r="C150" s="137">
        <v>0</v>
      </c>
      <c r="D150" s="138">
        <v>0</v>
      </c>
      <c r="E150" s="139">
        <v>0</v>
      </c>
      <c r="F150" s="139">
        <v>0</v>
      </c>
      <c r="G150" s="139">
        <v>0</v>
      </c>
      <c r="H150" s="139">
        <v>0</v>
      </c>
      <c r="I150" s="139">
        <v>0</v>
      </c>
      <c r="J150" s="139">
        <v>0</v>
      </c>
      <c r="K150" s="139">
        <v>0</v>
      </c>
      <c r="L150" s="139">
        <v>0</v>
      </c>
      <c r="M150" s="139">
        <v>0</v>
      </c>
      <c r="N150" s="139">
        <v>0</v>
      </c>
      <c r="O150" s="139">
        <v>0</v>
      </c>
      <c r="P150" s="139">
        <v>0</v>
      </c>
      <c r="Q150" s="139">
        <v>0</v>
      </c>
      <c r="R150" s="139">
        <v>0</v>
      </c>
      <c r="S150" s="139">
        <v>0</v>
      </c>
      <c r="T150" s="139">
        <v>0</v>
      </c>
      <c r="U150" s="139">
        <v>0</v>
      </c>
      <c r="V150" s="139">
        <v>0</v>
      </c>
      <c r="W150" s="139">
        <v>0</v>
      </c>
      <c r="X150" s="139">
        <v>0</v>
      </c>
      <c r="Y150" s="139">
        <v>0</v>
      </c>
      <c r="Z150" s="139">
        <v>0</v>
      </c>
      <c r="AA150" s="139">
        <v>0</v>
      </c>
      <c r="AB150" s="139">
        <v>0</v>
      </c>
      <c r="AC150" s="139">
        <v>0</v>
      </c>
      <c r="AD150" s="139">
        <v>0</v>
      </c>
      <c r="AE150" s="139">
        <v>0</v>
      </c>
      <c r="AF150" s="139">
        <v>10200</v>
      </c>
      <c r="AG150" s="139">
        <v>10200</v>
      </c>
      <c r="AH150" s="139">
        <v>10200</v>
      </c>
      <c r="AI150" s="139">
        <v>10200</v>
      </c>
      <c r="AJ150" s="139">
        <v>10200</v>
      </c>
      <c r="AK150" s="139">
        <v>10200</v>
      </c>
      <c r="AL150" s="139">
        <v>10200</v>
      </c>
      <c r="AM150" s="139">
        <v>10200</v>
      </c>
      <c r="AN150" s="139">
        <v>10200</v>
      </c>
      <c r="AO150" s="139">
        <v>10200</v>
      </c>
      <c r="AP150" s="139">
        <v>10200</v>
      </c>
      <c r="AQ150" s="139">
        <v>10200</v>
      </c>
      <c r="AR150" s="139">
        <v>0</v>
      </c>
      <c r="AS150" s="139">
        <v>0</v>
      </c>
      <c r="AT150" s="139">
        <v>0</v>
      </c>
      <c r="AU150" s="139">
        <v>0</v>
      </c>
      <c r="AV150" s="140"/>
    </row>
    <row r="151" spans="2:48" ht="15.75" customHeight="1" x14ac:dyDescent="0.2">
      <c r="B151" s="136" t="s">
        <v>132</v>
      </c>
      <c r="C151" s="137">
        <v>0</v>
      </c>
      <c r="D151" s="138">
        <v>0</v>
      </c>
      <c r="E151" s="139">
        <v>0</v>
      </c>
      <c r="F151" s="139">
        <v>0</v>
      </c>
      <c r="G151" s="139">
        <v>0</v>
      </c>
      <c r="H151" s="139">
        <v>0</v>
      </c>
      <c r="I151" s="139">
        <v>0</v>
      </c>
      <c r="J151" s="139">
        <v>0</v>
      </c>
      <c r="K151" s="139">
        <v>0</v>
      </c>
      <c r="L151" s="139">
        <v>0</v>
      </c>
      <c r="M151" s="139">
        <v>0</v>
      </c>
      <c r="N151" s="139">
        <v>0</v>
      </c>
      <c r="O151" s="139">
        <v>0</v>
      </c>
      <c r="P151" s="139">
        <v>0</v>
      </c>
      <c r="Q151" s="139">
        <v>0</v>
      </c>
      <c r="R151" s="139">
        <v>0</v>
      </c>
      <c r="S151" s="139">
        <v>0</v>
      </c>
      <c r="T151" s="139">
        <v>0</v>
      </c>
      <c r="U151" s="139">
        <v>0</v>
      </c>
      <c r="V151" s="139">
        <v>0</v>
      </c>
      <c r="W151" s="139">
        <v>0</v>
      </c>
      <c r="X151" s="139">
        <v>0</v>
      </c>
      <c r="Y151" s="139">
        <v>0</v>
      </c>
      <c r="Z151" s="139">
        <v>0</v>
      </c>
      <c r="AA151" s="139">
        <v>0</v>
      </c>
      <c r="AB151" s="139">
        <v>0</v>
      </c>
      <c r="AC151" s="139">
        <v>0</v>
      </c>
      <c r="AD151" s="139">
        <v>0</v>
      </c>
      <c r="AE151" s="139">
        <v>0</v>
      </c>
      <c r="AF151" s="139">
        <v>6000</v>
      </c>
      <c r="AG151" s="139">
        <v>6000</v>
      </c>
      <c r="AH151" s="139">
        <v>6000</v>
      </c>
      <c r="AI151" s="139">
        <v>6000</v>
      </c>
      <c r="AJ151" s="139">
        <v>6000</v>
      </c>
      <c r="AK151" s="139">
        <v>6000</v>
      </c>
      <c r="AL151" s="139">
        <v>6000</v>
      </c>
      <c r="AM151" s="139">
        <v>6000</v>
      </c>
      <c r="AN151" s="139">
        <v>6000</v>
      </c>
      <c r="AO151" s="139">
        <v>6000</v>
      </c>
      <c r="AP151" s="139">
        <v>6000</v>
      </c>
      <c r="AQ151" s="139">
        <v>6000</v>
      </c>
      <c r="AR151" s="139">
        <v>6000</v>
      </c>
      <c r="AS151" s="139">
        <v>6000</v>
      </c>
      <c r="AT151" s="139">
        <v>6000</v>
      </c>
      <c r="AU151" s="139">
        <v>12360</v>
      </c>
      <c r="AV151" s="140"/>
    </row>
    <row r="152" spans="2:48" ht="15.75" customHeight="1" x14ac:dyDescent="0.2">
      <c r="B152" s="136" t="s">
        <v>133</v>
      </c>
      <c r="C152" s="137">
        <v>0</v>
      </c>
      <c r="D152" s="138">
        <v>0</v>
      </c>
      <c r="E152" s="139">
        <v>0</v>
      </c>
      <c r="F152" s="139">
        <v>0</v>
      </c>
      <c r="G152" s="139">
        <v>0</v>
      </c>
      <c r="H152" s="139">
        <v>0</v>
      </c>
      <c r="I152" s="139">
        <v>0</v>
      </c>
      <c r="J152" s="139">
        <v>0</v>
      </c>
      <c r="K152" s="139">
        <v>0</v>
      </c>
      <c r="L152" s="139">
        <v>0</v>
      </c>
      <c r="M152" s="139">
        <v>0</v>
      </c>
      <c r="N152" s="139">
        <v>0</v>
      </c>
      <c r="O152" s="139">
        <v>0</v>
      </c>
      <c r="P152" s="139">
        <v>0</v>
      </c>
      <c r="Q152" s="139">
        <v>0</v>
      </c>
      <c r="R152" s="139">
        <v>0</v>
      </c>
      <c r="S152" s="139">
        <v>0</v>
      </c>
      <c r="T152" s="139">
        <v>0</v>
      </c>
      <c r="U152" s="139">
        <v>0</v>
      </c>
      <c r="V152" s="139">
        <v>0</v>
      </c>
      <c r="W152" s="139">
        <v>0</v>
      </c>
      <c r="X152" s="139">
        <v>0</v>
      </c>
      <c r="Y152" s="139">
        <v>0</v>
      </c>
      <c r="Z152" s="139">
        <v>0</v>
      </c>
      <c r="AA152" s="139">
        <v>0</v>
      </c>
      <c r="AB152" s="139">
        <v>0</v>
      </c>
      <c r="AC152" s="139">
        <v>0</v>
      </c>
      <c r="AD152" s="139">
        <v>0</v>
      </c>
      <c r="AE152" s="139">
        <v>0</v>
      </c>
      <c r="AF152" s="139">
        <v>6000</v>
      </c>
      <c r="AG152" s="139">
        <v>6000</v>
      </c>
      <c r="AH152" s="139">
        <v>6000</v>
      </c>
      <c r="AI152" s="139">
        <v>6000</v>
      </c>
      <c r="AJ152" s="139">
        <v>6000</v>
      </c>
      <c r="AK152" s="139">
        <v>6000</v>
      </c>
      <c r="AL152" s="139">
        <v>6000</v>
      </c>
      <c r="AM152" s="139">
        <v>6000</v>
      </c>
      <c r="AN152" s="139">
        <v>6000</v>
      </c>
      <c r="AO152" s="139">
        <v>6000</v>
      </c>
      <c r="AP152" s="139">
        <v>6000</v>
      </c>
      <c r="AQ152" s="139">
        <v>6000</v>
      </c>
      <c r="AR152" s="139">
        <v>6000</v>
      </c>
      <c r="AS152" s="139">
        <v>6000</v>
      </c>
      <c r="AT152" s="139">
        <v>6000</v>
      </c>
      <c r="AU152" s="139">
        <v>6000</v>
      </c>
      <c r="AV152" s="140"/>
    </row>
    <row r="153" spans="2:48" ht="15.75" customHeight="1" x14ac:dyDescent="0.2">
      <c r="B153" s="136" t="s">
        <v>134</v>
      </c>
      <c r="C153" s="137">
        <v>0</v>
      </c>
      <c r="D153" s="138">
        <v>0</v>
      </c>
      <c r="E153" s="139">
        <v>0</v>
      </c>
      <c r="F153" s="139">
        <v>0</v>
      </c>
      <c r="G153" s="139">
        <v>0</v>
      </c>
      <c r="H153" s="139">
        <v>0</v>
      </c>
      <c r="I153" s="139">
        <v>0</v>
      </c>
      <c r="J153" s="139">
        <v>0</v>
      </c>
      <c r="K153" s="139">
        <v>0</v>
      </c>
      <c r="L153" s="139">
        <v>0</v>
      </c>
      <c r="M153" s="139">
        <v>0</v>
      </c>
      <c r="N153" s="139">
        <v>0</v>
      </c>
      <c r="O153" s="139">
        <v>0</v>
      </c>
      <c r="P153" s="139">
        <v>0</v>
      </c>
      <c r="Q153" s="139">
        <v>0</v>
      </c>
      <c r="R153" s="139">
        <v>0</v>
      </c>
      <c r="S153" s="139">
        <v>0</v>
      </c>
      <c r="T153" s="139">
        <v>0</v>
      </c>
      <c r="U153" s="139">
        <v>0</v>
      </c>
      <c r="V153" s="139">
        <v>0</v>
      </c>
      <c r="W153" s="139">
        <v>0</v>
      </c>
      <c r="X153" s="139">
        <v>0</v>
      </c>
      <c r="Y153" s="139">
        <v>0</v>
      </c>
      <c r="Z153" s="139">
        <v>0</v>
      </c>
      <c r="AA153" s="139">
        <v>0</v>
      </c>
      <c r="AB153" s="139">
        <v>0</v>
      </c>
      <c r="AC153" s="139">
        <v>0</v>
      </c>
      <c r="AD153" s="139">
        <v>0</v>
      </c>
      <c r="AE153" s="139">
        <v>0</v>
      </c>
      <c r="AF153" s="139">
        <v>5250</v>
      </c>
      <c r="AG153" s="139">
        <v>5250</v>
      </c>
      <c r="AH153" s="139">
        <v>5250</v>
      </c>
      <c r="AI153" s="139">
        <v>5250</v>
      </c>
      <c r="AJ153" s="139">
        <v>5250</v>
      </c>
      <c r="AK153" s="139">
        <v>5250</v>
      </c>
      <c r="AL153" s="139">
        <v>5250</v>
      </c>
      <c r="AM153" s="139">
        <v>5250</v>
      </c>
      <c r="AN153" s="139">
        <v>5250</v>
      </c>
      <c r="AO153" s="139">
        <v>5250</v>
      </c>
      <c r="AP153" s="139">
        <v>5250</v>
      </c>
      <c r="AQ153" s="139">
        <v>5250</v>
      </c>
      <c r="AR153" s="139">
        <v>0</v>
      </c>
      <c r="AS153" s="139">
        <v>0</v>
      </c>
      <c r="AT153" s="139">
        <v>0</v>
      </c>
      <c r="AU153" s="139">
        <v>0</v>
      </c>
      <c r="AV153" s="140"/>
    </row>
    <row r="154" spans="2:48" ht="15.75" customHeight="1" x14ac:dyDescent="0.2">
      <c r="B154" s="136" t="s">
        <v>135</v>
      </c>
      <c r="C154" s="137">
        <v>0</v>
      </c>
      <c r="D154" s="138">
        <v>0</v>
      </c>
      <c r="E154" s="139">
        <v>0</v>
      </c>
      <c r="F154" s="139">
        <v>0</v>
      </c>
      <c r="G154" s="139">
        <v>0</v>
      </c>
      <c r="H154" s="139">
        <v>0</v>
      </c>
      <c r="I154" s="139">
        <v>0</v>
      </c>
      <c r="J154" s="139">
        <v>0</v>
      </c>
      <c r="K154" s="139">
        <v>0</v>
      </c>
      <c r="L154" s="139">
        <v>0</v>
      </c>
      <c r="M154" s="139">
        <v>0</v>
      </c>
      <c r="N154" s="139">
        <v>0</v>
      </c>
      <c r="O154" s="139">
        <v>0</v>
      </c>
      <c r="P154" s="139">
        <v>0</v>
      </c>
      <c r="Q154" s="139">
        <v>0</v>
      </c>
      <c r="R154" s="139">
        <v>0</v>
      </c>
      <c r="S154" s="139">
        <v>0</v>
      </c>
      <c r="T154" s="139">
        <v>0</v>
      </c>
      <c r="U154" s="139">
        <v>0</v>
      </c>
      <c r="V154" s="139">
        <v>0</v>
      </c>
      <c r="W154" s="139">
        <v>0</v>
      </c>
      <c r="X154" s="139">
        <v>0</v>
      </c>
      <c r="Y154" s="139">
        <v>0</v>
      </c>
      <c r="Z154" s="139">
        <v>0</v>
      </c>
      <c r="AA154" s="139">
        <v>0</v>
      </c>
      <c r="AB154" s="139">
        <v>0</v>
      </c>
      <c r="AC154" s="139">
        <v>0</v>
      </c>
      <c r="AD154" s="139">
        <v>0</v>
      </c>
      <c r="AE154" s="139">
        <v>0</v>
      </c>
      <c r="AF154" s="139">
        <v>6000</v>
      </c>
      <c r="AG154" s="139">
        <v>6000</v>
      </c>
      <c r="AH154" s="139">
        <v>6000</v>
      </c>
      <c r="AI154" s="139">
        <v>6000</v>
      </c>
      <c r="AJ154" s="139">
        <v>6000</v>
      </c>
      <c r="AK154" s="139">
        <v>6000</v>
      </c>
      <c r="AL154" s="139">
        <v>6000</v>
      </c>
      <c r="AM154" s="139">
        <v>6000</v>
      </c>
      <c r="AN154" s="139">
        <v>6000</v>
      </c>
      <c r="AO154" s="139">
        <v>6000</v>
      </c>
      <c r="AP154" s="139">
        <v>6000</v>
      </c>
      <c r="AQ154" s="139">
        <v>6000</v>
      </c>
      <c r="AR154" s="139">
        <v>6480</v>
      </c>
      <c r="AS154" s="139">
        <v>6480</v>
      </c>
      <c r="AT154" s="139">
        <v>6480</v>
      </c>
      <c r="AU154" s="139">
        <v>6480</v>
      </c>
      <c r="AV154" s="140"/>
    </row>
    <row r="155" spans="2:48" ht="15.75" customHeight="1" x14ac:dyDescent="0.2">
      <c r="B155" s="136" t="s">
        <v>136</v>
      </c>
      <c r="C155" s="137">
        <v>0</v>
      </c>
      <c r="D155" s="138">
        <v>0</v>
      </c>
      <c r="E155" s="139">
        <v>0</v>
      </c>
      <c r="F155" s="139">
        <v>0</v>
      </c>
      <c r="G155" s="139">
        <v>0</v>
      </c>
      <c r="H155" s="139">
        <v>0</v>
      </c>
      <c r="I155" s="139">
        <v>0</v>
      </c>
      <c r="J155" s="139">
        <v>0</v>
      </c>
      <c r="K155" s="139">
        <v>0</v>
      </c>
      <c r="L155" s="139">
        <v>0</v>
      </c>
      <c r="M155" s="139">
        <v>0</v>
      </c>
      <c r="N155" s="139">
        <v>0</v>
      </c>
      <c r="O155" s="139">
        <v>0</v>
      </c>
      <c r="P155" s="139">
        <v>0</v>
      </c>
      <c r="Q155" s="139">
        <v>0</v>
      </c>
      <c r="R155" s="139">
        <v>0</v>
      </c>
      <c r="S155" s="139">
        <v>0</v>
      </c>
      <c r="T155" s="139">
        <v>0</v>
      </c>
      <c r="U155" s="139">
        <v>0</v>
      </c>
      <c r="V155" s="139">
        <v>0</v>
      </c>
      <c r="W155" s="139">
        <v>0</v>
      </c>
      <c r="X155" s="139">
        <v>0</v>
      </c>
      <c r="Y155" s="139">
        <v>0</v>
      </c>
      <c r="Z155" s="139">
        <v>0</v>
      </c>
      <c r="AA155" s="139">
        <v>0</v>
      </c>
      <c r="AB155" s="139">
        <v>0</v>
      </c>
      <c r="AC155" s="139">
        <v>0</v>
      </c>
      <c r="AD155" s="139">
        <v>0</v>
      </c>
      <c r="AE155" s="139">
        <v>0</v>
      </c>
      <c r="AF155" s="139">
        <v>50004</v>
      </c>
      <c r="AG155" s="139">
        <v>50004</v>
      </c>
      <c r="AH155" s="139">
        <v>50004</v>
      </c>
      <c r="AI155" s="139">
        <v>50004</v>
      </c>
      <c r="AJ155" s="139">
        <v>50004</v>
      </c>
      <c r="AK155" s="139">
        <v>50004</v>
      </c>
      <c r="AL155" s="139">
        <v>50004</v>
      </c>
      <c r="AM155" s="139">
        <v>50004</v>
      </c>
      <c r="AN155" s="139">
        <v>50004</v>
      </c>
      <c r="AO155" s="139">
        <v>50004</v>
      </c>
      <c r="AP155" s="139">
        <v>50004</v>
      </c>
      <c r="AQ155" s="139">
        <v>0</v>
      </c>
      <c r="AR155" s="139">
        <v>0</v>
      </c>
      <c r="AS155" s="139">
        <v>0</v>
      </c>
      <c r="AT155" s="139">
        <v>0</v>
      </c>
      <c r="AU155" s="139">
        <v>0</v>
      </c>
      <c r="AV155" s="140"/>
    </row>
    <row r="156" spans="2:48" ht="15.75" customHeight="1" x14ac:dyDescent="0.2">
      <c r="B156" s="136" t="s">
        <v>137</v>
      </c>
      <c r="C156" s="137">
        <v>0</v>
      </c>
      <c r="D156" s="138">
        <v>0</v>
      </c>
      <c r="E156" s="139">
        <v>0</v>
      </c>
      <c r="F156" s="139">
        <v>0</v>
      </c>
      <c r="G156" s="139">
        <v>0</v>
      </c>
      <c r="H156" s="139">
        <v>0</v>
      </c>
      <c r="I156" s="139">
        <v>0</v>
      </c>
      <c r="J156" s="139">
        <v>0</v>
      </c>
      <c r="K156" s="139">
        <v>0</v>
      </c>
      <c r="L156" s="139">
        <v>0</v>
      </c>
      <c r="M156" s="139">
        <v>0</v>
      </c>
      <c r="N156" s="139">
        <v>0</v>
      </c>
      <c r="O156" s="139">
        <v>0</v>
      </c>
      <c r="P156" s="139">
        <v>0</v>
      </c>
      <c r="Q156" s="139">
        <v>0</v>
      </c>
      <c r="R156" s="139">
        <v>0</v>
      </c>
      <c r="S156" s="139">
        <v>0</v>
      </c>
      <c r="T156" s="139">
        <v>0</v>
      </c>
      <c r="U156" s="139">
        <v>0</v>
      </c>
      <c r="V156" s="139">
        <v>0</v>
      </c>
      <c r="W156" s="139">
        <v>0</v>
      </c>
      <c r="X156" s="139">
        <v>0</v>
      </c>
      <c r="Y156" s="139">
        <v>0</v>
      </c>
      <c r="Z156" s="139">
        <v>0</v>
      </c>
      <c r="AA156" s="139">
        <v>0</v>
      </c>
      <c r="AB156" s="139">
        <v>0</v>
      </c>
      <c r="AC156" s="139">
        <v>0</v>
      </c>
      <c r="AD156" s="139">
        <v>0</v>
      </c>
      <c r="AE156" s="139">
        <v>0</v>
      </c>
      <c r="AF156" s="139">
        <v>0</v>
      </c>
      <c r="AG156" s="139">
        <v>13410</v>
      </c>
      <c r="AH156" s="139">
        <v>13410</v>
      </c>
      <c r="AI156" s="139">
        <v>13410</v>
      </c>
      <c r="AJ156" s="139">
        <v>13410</v>
      </c>
      <c r="AK156" s="139">
        <v>13410</v>
      </c>
      <c r="AL156" s="139">
        <v>13410</v>
      </c>
      <c r="AM156" s="139">
        <v>13410</v>
      </c>
      <c r="AN156" s="139">
        <v>13410</v>
      </c>
      <c r="AO156" s="139">
        <v>13410</v>
      </c>
      <c r="AP156" s="139">
        <v>13410</v>
      </c>
      <c r="AQ156" s="139">
        <v>13410</v>
      </c>
      <c r="AR156" s="139">
        <v>13410</v>
      </c>
      <c r="AS156" s="139">
        <v>13410</v>
      </c>
      <c r="AT156" s="139">
        <v>0</v>
      </c>
      <c r="AU156" s="139">
        <v>0</v>
      </c>
      <c r="AV156" s="140"/>
    </row>
    <row r="157" spans="2:48" ht="15.75" customHeight="1" x14ac:dyDescent="0.2">
      <c r="B157" s="136" t="s">
        <v>138</v>
      </c>
      <c r="C157" s="137">
        <v>0</v>
      </c>
      <c r="D157" s="138">
        <v>0</v>
      </c>
      <c r="E157" s="139">
        <v>0</v>
      </c>
      <c r="F157" s="139">
        <v>0</v>
      </c>
      <c r="G157" s="139">
        <v>0</v>
      </c>
      <c r="H157" s="139">
        <v>0</v>
      </c>
      <c r="I157" s="139">
        <v>0</v>
      </c>
      <c r="J157" s="139">
        <v>0</v>
      </c>
      <c r="K157" s="139">
        <v>0</v>
      </c>
      <c r="L157" s="139">
        <v>0</v>
      </c>
      <c r="M157" s="139">
        <v>0</v>
      </c>
      <c r="N157" s="139">
        <v>0</v>
      </c>
      <c r="O157" s="139">
        <v>0</v>
      </c>
      <c r="P157" s="139">
        <v>0</v>
      </c>
      <c r="Q157" s="139">
        <v>0</v>
      </c>
      <c r="R157" s="139">
        <v>0</v>
      </c>
      <c r="S157" s="139">
        <v>0</v>
      </c>
      <c r="T157" s="139">
        <v>0</v>
      </c>
      <c r="U157" s="139">
        <v>0</v>
      </c>
      <c r="V157" s="139">
        <v>0</v>
      </c>
      <c r="W157" s="139">
        <v>0</v>
      </c>
      <c r="X157" s="139">
        <v>0</v>
      </c>
      <c r="Y157" s="139">
        <v>0</v>
      </c>
      <c r="Z157" s="139">
        <v>0</v>
      </c>
      <c r="AA157" s="139">
        <v>0</v>
      </c>
      <c r="AB157" s="139">
        <v>0</v>
      </c>
      <c r="AC157" s="139">
        <v>0</v>
      </c>
      <c r="AD157" s="139">
        <v>0</v>
      </c>
      <c r="AE157" s="139">
        <v>0</v>
      </c>
      <c r="AF157" s="139">
        <v>0</v>
      </c>
      <c r="AG157" s="139">
        <v>32520</v>
      </c>
      <c r="AH157" s="139">
        <v>32520</v>
      </c>
      <c r="AI157" s="139">
        <v>32520</v>
      </c>
      <c r="AJ157" s="139">
        <v>32520</v>
      </c>
      <c r="AK157" s="139">
        <v>32520</v>
      </c>
      <c r="AL157" s="139">
        <v>32520</v>
      </c>
      <c r="AM157" s="139">
        <v>32520</v>
      </c>
      <c r="AN157" s="139">
        <v>32520</v>
      </c>
      <c r="AO157" s="139">
        <v>32520</v>
      </c>
      <c r="AP157" s="139">
        <v>32520</v>
      </c>
      <c r="AQ157" s="139">
        <v>32520</v>
      </c>
      <c r="AR157" s="139">
        <v>32520</v>
      </c>
      <c r="AS157" s="139">
        <v>32520</v>
      </c>
      <c r="AT157" s="139">
        <v>32520</v>
      </c>
      <c r="AU157" s="139">
        <v>32520</v>
      </c>
      <c r="AV157" s="140"/>
    </row>
    <row r="158" spans="2:48" ht="15.75" customHeight="1" x14ac:dyDescent="0.2">
      <c r="B158" s="136" t="s">
        <v>139</v>
      </c>
      <c r="C158" s="137">
        <v>0</v>
      </c>
      <c r="D158" s="138">
        <v>0</v>
      </c>
      <c r="E158" s="139">
        <v>0</v>
      </c>
      <c r="F158" s="139">
        <v>0</v>
      </c>
      <c r="G158" s="139">
        <v>0</v>
      </c>
      <c r="H158" s="139">
        <v>0</v>
      </c>
      <c r="I158" s="139">
        <v>0</v>
      </c>
      <c r="J158" s="139">
        <v>0</v>
      </c>
      <c r="K158" s="139">
        <v>0</v>
      </c>
      <c r="L158" s="139">
        <v>0</v>
      </c>
      <c r="M158" s="139">
        <v>0</v>
      </c>
      <c r="N158" s="139">
        <v>0</v>
      </c>
      <c r="O158" s="139">
        <v>0</v>
      </c>
      <c r="P158" s="139">
        <v>0</v>
      </c>
      <c r="Q158" s="139">
        <v>0</v>
      </c>
      <c r="R158" s="139">
        <v>0</v>
      </c>
      <c r="S158" s="139">
        <v>0</v>
      </c>
      <c r="T158" s="139">
        <v>0</v>
      </c>
      <c r="U158" s="139">
        <v>0</v>
      </c>
      <c r="V158" s="139">
        <v>0</v>
      </c>
      <c r="W158" s="139">
        <v>0</v>
      </c>
      <c r="X158" s="139">
        <v>0</v>
      </c>
      <c r="Y158" s="139">
        <v>0</v>
      </c>
      <c r="Z158" s="139">
        <v>0</v>
      </c>
      <c r="AA158" s="139">
        <v>0</v>
      </c>
      <c r="AB158" s="139">
        <v>0</v>
      </c>
      <c r="AC158" s="139">
        <v>0</v>
      </c>
      <c r="AD158" s="139">
        <v>0</v>
      </c>
      <c r="AE158" s="139">
        <v>0</v>
      </c>
      <c r="AF158" s="139">
        <v>0</v>
      </c>
      <c r="AG158" s="139">
        <v>12000</v>
      </c>
      <c r="AH158" s="139">
        <v>12000</v>
      </c>
      <c r="AI158" s="139">
        <v>12000</v>
      </c>
      <c r="AJ158" s="139">
        <v>12000</v>
      </c>
      <c r="AK158" s="139">
        <v>12000</v>
      </c>
      <c r="AL158" s="139">
        <v>12000</v>
      </c>
      <c r="AM158" s="139">
        <v>12000</v>
      </c>
      <c r="AN158" s="139">
        <v>12000</v>
      </c>
      <c r="AO158" s="139">
        <v>12000</v>
      </c>
      <c r="AP158" s="139">
        <v>12000</v>
      </c>
      <c r="AQ158" s="139">
        <v>12000</v>
      </c>
      <c r="AR158" s="139">
        <v>12000</v>
      </c>
      <c r="AS158" s="139">
        <v>0</v>
      </c>
      <c r="AT158" s="139">
        <v>0</v>
      </c>
      <c r="AU158" s="139">
        <v>0</v>
      </c>
      <c r="AV158" s="140"/>
    </row>
    <row r="159" spans="2:48" ht="15.75" customHeight="1" x14ac:dyDescent="0.2">
      <c r="B159" s="136" t="s">
        <v>140</v>
      </c>
      <c r="C159" s="137">
        <v>0</v>
      </c>
      <c r="D159" s="138">
        <v>0</v>
      </c>
      <c r="E159" s="139">
        <v>0</v>
      </c>
      <c r="F159" s="139">
        <v>0</v>
      </c>
      <c r="G159" s="139">
        <v>0</v>
      </c>
      <c r="H159" s="139">
        <v>0</v>
      </c>
      <c r="I159" s="139">
        <v>0</v>
      </c>
      <c r="J159" s="139">
        <v>0</v>
      </c>
      <c r="K159" s="139">
        <v>0</v>
      </c>
      <c r="L159" s="139">
        <v>0</v>
      </c>
      <c r="M159" s="139">
        <v>0</v>
      </c>
      <c r="N159" s="139">
        <v>0</v>
      </c>
      <c r="O159" s="139">
        <v>0</v>
      </c>
      <c r="P159" s="139">
        <v>0</v>
      </c>
      <c r="Q159" s="139">
        <v>0</v>
      </c>
      <c r="R159" s="139">
        <v>0</v>
      </c>
      <c r="S159" s="139">
        <v>0</v>
      </c>
      <c r="T159" s="139">
        <v>0</v>
      </c>
      <c r="U159" s="139">
        <v>0</v>
      </c>
      <c r="V159" s="139">
        <v>0</v>
      </c>
      <c r="W159" s="139">
        <v>0</v>
      </c>
      <c r="X159" s="139">
        <v>0</v>
      </c>
      <c r="Y159" s="139">
        <v>0</v>
      </c>
      <c r="Z159" s="139">
        <v>0</v>
      </c>
      <c r="AA159" s="139">
        <v>0</v>
      </c>
      <c r="AB159" s="139">
        <v>0</v>
      </c>
      <c r="AC159" s="139">
        <v>0</v>
      </c>
      <c r="AD159" s="139">
        <v>0</v>
      </c>
      <c r="AE159" s="139">
        <v>0</v>
      </c>
      <c r="AF159" s="139">
        <v>0</v>
      </c>
      <c r="AG159" s="139">
        <v>6000</v>
      </c>
      <c r="AH159" s="139">
        <v>6000</v>
      </c>
      <c r="AI159" s="139">
        <v>6000</v>
      </c>
      <c r="AJ159" s="139">
        <v>6000</v>
      </c>
      <c r="AK159" s="139">
        <v>6000</v>
      </c>
      <c r="AL159" s="139">
        <v>6000</v>
      </c>
      <c r="AM159" s="139">
        <v>6000</v>
      </c>
      <c r="AN159" s="139">
        <v>6000</v>
      </c>
      <c r="AO159" s="139">
        <v>6000</v>
      </c>
      <c r="AP159" s="139">
        <v>6000</v>
      </c>
      <c r="AQ159" s="139">
        <v>6000</v>
      </c>
      <c r="AR159" s="139">
        <v>6000</v>
      </c>
      <c r="AS159" s="139">
        <v>6000</v>
      </c>
      <c r="AT159" s="139">
        <v>6000</v>
      </c>
      <c r="AU159" s="139">
        <v>6000</v>
      </c>
      <c r="AV159" s="140"/>
    </row>
    <row r="160" spans="2:48" ht="15.75" customHeight="1" x14ac:dyDescent="0.2">
      <c r="B160" s="136" t="s">
        <v>141</v>
      </c>
      <c r="C160" s="137">
        <v>0</v>
      </c>
      <c r="D160" s="138">
        <v>0</v>
      </c>
      <c r="E160" s="139">
        <v>0</v>
      </c>
      <c r="F160" s="139">
        <v>0</v>
      </c>
      <c r="G160" s="139">
        <v>0</v>
      </c>
      <c r="H160" s="139">
        <v>0</v>
      </c>
      <c r="I160" s="139">
        <v>0</v>
      </c>
      <c r="J160" s="139">
        <v>0</v>
      </c>
      <c r="K160" s="139">
        <v>0</v>
      </c>
      <c r="L160" s="139">
        <v>0</v>
      </c>
      <c r="M160" s="139">
        <v>0</v>
      </c>
      <c r="N160" s="139">
        <v>0</v>
      </c>
      <c r="O160" s="139">
        <v>0</v>
      </c>
      <c r="P160" s="139">
        <v>0</v>
      </c>
      <c r="Q160" s="139">
        <v>0</v>
      </c>
      <c r="R160" s="139">
        <v>0</v>
      </c>
      <c r="S160" s="139">
        <v>0</v>
      </c>
      <c r="T160" s="139">
        <v>0</v>
      </c>
      <c r="U160" s="139">
        <v>0</v>
      </c>
      <c r="V160" s="139">
        <v>0</v>
      </c>
      <c r="W160" s="139">
        <v>0</v>
      </c>
      <c r="X160" s="139">
        <v>0</v>
      </c>
      <c r="Y160" s="139">
        <v>0</v>
      </c>
      <c r="Z160" s="139">
        <v>0</v>
      </c>
      <c r="AA160" s="139">
        <v>0</v>
      </c>
      <c r="AB160" s="139">
        <v>0</v>
      </c>
      <c r="AC160" s="139">
        <v>0</v>
      </c>
      <c r="AD160" s="139">
        <v>0</v>
      </c>
      <c r="AE160" s="139">
        <v>0</v>
      </c>
      <c r="AF160" s="139">
        <v>0</v>
      </c>
      <c r="AG160" s="139">
        <v>7452</v>
      </c>
      <c r="AH160" s="139">
        <v>7452</v>
      </c>
      <c r="AI160" s="139">
        <v>7452</v>
      </c>
      <c r="AJ160" s="139">
        <v>7452</v>
      </c>
      <c r="AK160" s="139">
        <v>7452</v>
      </c>
      <c r="AL160" s="139">
        <v>7452</v>
      </c>
      <c r="AM160" s="139">
        <v>7452</v>
      </c>
      <c r="AN160" s="139">
        <v>7452</v>
      </c>
      <c r="AO160" s="139">
        <v>7452</v>
      </c>
      <c r="AP160" s="139">
        <v>7452</v>
      </c>
      <c r="AQ160" s="139">
        <v>7452</v>
      </c>
      <c r="AR160" s="139">
        <v>7452</v>
      </c>
      <c r="AS160" s="139">
        <v>11232</v>
      </c>
      <c r="AT160" s="139">
        <v>11232</v>
      </c>
      <c r="AU160" s="139">
        <v>11232</v>
      </c>
      <c r="AV160" s="140"/>
    </row>
    <row r="161" spans="2:48" ht="15.75" customHeight="1" x14ac:dyDescent="0.2">
      <c r="B161" s="136" t="s">
        <v>142</v>
      </c>
      <c r="C161" s="137">
        <v>0</v>
      </c>
      <c r="D161" s="138">
        <v>0</v>
      </c>
      <c r="E161" s="139">
        <v>0</v>
      </c>
      <c r="F161" s="139">
        <v>0</v>
      </c>
      <c r="G161" s="139">
        <v>0</v>
      </c>
      <c r="H161" s="139">
        <v>0</v>
      </c>
      <c r="I161" s="139">
        <v>0</v>
      </c>
      <c r="J161" s="139">
        <v>0</v>
      </c>
      <c r="K161" s="139">
        <v>0</v>
      </c>
      <c r="L161" s="139">
        <v>0</v>
      </c>
      <c r="M161" s="139">
        <v>0</v>
      </c>
      <c r="N161" s="139">
        <v>0</v>
      </c>
      <c r="O161" s="139">
        <v>0</v>
      </c>
      <c r="P161" s="139">
        <v>0</v>
      </c>
      <c r="Q161" s="139">
        <v>0</v>
      </c>
      <c r="R161" s="139">
        <v>0</v>
      </c>
      <c r="S161" s="139">
        <v>0</v>
      </c>
      <c r="T161" s="139">
        <v>0</v>
      </c>
      <c r="U161" s="139">
        <v>0</v>
      </c>
      <c r="V161" s="139">
        <v>0</v>
      </c>
      <c r="W161" s="139">
        <v>0</v>
      </c>
      <c r="X161" s="139">
        <v>0</v>
      </c>
      <c r="Y161" s="139">
        <v>0</v>
      </c>
      <c r="Z161" s="139">
        <v>0</v>
      </c>
      <c r="AA161" s="139">
        <v>0</v>
      </c>
      <c r="AB161" s="139">
        <v>0</v>
      </c>
      <c r="AC161" s="139">
        <v>0</v>
      </c>
      <c r="AD161" s="139">
        <v>0</v>
      </c>
      <c r="AE161" s="139">
        <v>0</v>
      </c>
      <c r="AF161" s="139">
        <v>0</v>
      </c>
      <c r="AG161" s="139">
        <v>14280</v>
      </c>
      <c r="AH161" s="139">
        <v>14280</v>
      </c>
      <c r="AI161" s="139">
        <v>14280</v>
      </c>
      <c r="AJ161" s="139">
        <v>14280</v>
      </c>
      <c r="AK161" s="139">
        <v>14280</v>
      </c>
      <c r="AL161" s="139">
        <v>14280</v>
      </c>
      <c r="AM161" s="139">
        <v>14280</v>
      </c>
      <c r="AN161" s="139">
        <v>14280</v>
      </c>
      <c r="AO161" s="139">
        <v>14280</v>
      </c>
      <c r="AP161" s="139">
        <v>14280</v>
      </c>
      <c r="AQ161" s="139">
        <v>14280</v>
      </c>
      <c r="AR161" s="139">
        <v>14280</v>
      </c>
      <c r="AS161" s="139">
        <v>31686</v>
      </c>
      <c r="AT161" s="139">
        <v>31686</v>
      </c>
      <c r="AU161" s="139">
        <v>31686</v>
      </c>
      <c r="AV161" s="140"/>
    </row>
    <row r="162" spans="2:48" ht="15.75" customHeight="1" x14ac:dyDescent="0.2">
      <c r="B162" s="136" t="s">
        <v>143</v>
      </c>
      <c r="C162" s="137">
        <v>0</v>
      </c>
      <c r="D162" s="138">
        <v>0</v>
      </c>
      <c r="E162" s="139">
        <v>0</v>
      </c>
      <c r="F162" s="139">
        <v>0</v>
      </c>
      <c r="G162" s="139">
        <v>0</v>
      </c>
      <c r="H162" s="139">
        <v>0</v>
      </c>
      <c r="I162" s="139">
        <v>0</v>
      </c>
      <c r="J162" s="139">
        <v>0</v>
      </c>
      <c r="K162" s="139">
        <v>0</v>
      </c>
      <c r="L162" s="139">
        <v>0</v>
      </c>
      <c r="M162" s="139">
        <v>0</v>
      </c>
      <c r="N162" s="139">
        <v>0</v>
      </c>
      <c r="O162" s="139">
        <v>0</v>
      </c>
      <c r="P162" s="139">
        <v>0</v>
      </c>
      <c r="Q162" s="139">
        <v>0</v>
      </c>
      <c r="R162" s="139">
        <v>0</v>
      </c>
      <c r="S162" s="139">
        <v>0</v>
      </c>
      <c r="T162" s="139">
        <v>0</v>
      </c>
      <c r="U162" s="139">
        <v>0</v>
      </c>
      <c r="V162" s="139">
        <v>0</v>
      </c>
      <c r="W162" s="139">
        <v>0</v>
      </c>
      <c r="X162" s="139">
        <v>0</v>
      </c>
      <c r="Y162" s="139">
        <v>0</v>
      </c>
      <c r="Z162" s="139">
        <v>0</v>
      </c>
      <c r="AA162" s="139">
        <v>0</v>
      </c>
      <c r="AB162" s="139">
        <v>0</v>
      </c>
      <c r="AC162" s="139">
        <v>0</v>
      </c>
      <c r="AD162" s="139">
        <v>0</v>
      </c>
      <c r="AE162" s="139">
        <v>0</v>
      </c>
      <c r="AF162" s="139">
        <v>0</v>
      </c>
      <c r="AG162" s="139">
        <v>6000</v>
      </c>
      <c r="AH162" s="139">
        <v>6000</v>
      </c>
      <c r="AI162" s="139">
        <v>6000</v>
      </c>
      <c r="AJ162" s="139">
        <v>6000</v>
      </c>
      <c r="AK162" s="139">
        <v>6000</v>
      </c>
      <c r="AL162" s="139">
        <v>6000</v>
      </c>
      <c r="AM162" s="139">
        <v>6000</v>
      </c>
      <c r="AN162" s="139">
        <v>6000</v>
      </c>
      <c r="AO162" s="139">
        <v>6000</v>
      </c>
      <c r="AP162" s="139">
        <v>6000</v>
      </c>
      <c r="AQ162" s="139">
        <v>6000</v>
      </c>
      <c r="AR162" s="139">
        <v>6000</v>
      </c>
      <c r="AS162" s="139">
        <v>9600</v>
      </c>
      <c r="AT162" s="139">
        <v>9600</v>
      </c>
      <c r="AU162" s="139">
        <v>9600</v>
      </c>
      <c r="AV162" s="140"/>
    </row>
    <row r="163" spans="2:48" ht="15.75" customHeight="1" x14ac:dyDescent="0.2">
      <c r="B163" s="136" t="s">
        <v>144</v>
      </c>
      <c r="C163" s="137">
        <v>0</v>
      </c>
      <c r="D163" s="138">
        <v>0</v>
      </c>
      <c r="E163" s="139">
        <v>0</v>
      </c>
      <c r="F163" s="139">
        <v>0</v>
      </c>
      <c r="G163" s="139">
        <v>0</v>
      </c>
      <c r="H163" s="139">
        <v>0</v>
      </c>
      <c r="I163" s="139">
        <v>0</v>
      </c>
      <c r="J163" s="139">
        <v>0</v>
      </c>
      <c r="K163" s="139">
        <v>0</v>
      </c>
      <c r="L163" s="139">
        <v>0</v>
      </c>
      <c r="M163" s="139">
        <v>0</v>
      </c>
      <c r="N163" s="139">
        <v>0</v>
      </c>
      <c r="O163" s="139">
        <v>0</v>
      </c>
      <c r="P163" s="139">
        <v>0</v>
      </c>
      <c r="Q163" s="139">
        <v>0</v>
      </c>
      <c r="R163" s="139">
        <v>0</v>
      </c>
      <c r="S163" s="139">
        <v>0</v>
      </c>
      <c r="T163" s="139">
        <v>0</v>
      </c>
      <c r="U163" s="139">
        <v>0</v>
      </c>
      <c r="V163" s="139">
        <v>0</v>
      </c>
      <c r="W163" s="139">
        <v>0</v>
      </c>
      <c r="X163" s="139">
        <v>0</v>
      </c>
      <c r="Y163" s="139">
        <v>0</v>
      </c>
      <c r="Z163" s="139">
        <v>0</v>
      </c>
      <c r="AA163" s="139">
        <v>0</v>
      </c>
      <c r="AB163" s="139">
        <v>0</v>
      </c>
      <c r="AC163" s="139">
        <v>0</v>
      </c>
      <c r="AD163" s="139">
        <v>0</v>
      </c>
      <c r="AE163" s="139">
        <v>0</v>
      </c>
      <c r="AF163" s="139">
        <v>0</v>
      </c>
      <c r="AG163" s="139">
        <v>7584</v>
      </c>
      <c r="AH163" s="139">
        <v>7584</v>
      </c>
      <c r="AI163" s="139">
        <v>7584</v>
      </c>
      <c r="AJ163" s="139">
        <v>7584</v>
      </c>
      <c r="AK163" s="139">
        <v>7584</v>
      </c>
      <c r="AL163" s="139">
        <v>7584</v>
      </c>
      <c r="AM163" s="139">
        <v>7584</v>
      </c>
      <c r="AN163" s="139">
        <v>7584</v>
      </c>
      <c r="AO163" s="139">
        <v>7584</v>
      </c>
      <c r="AP163" s="139">
        <v>7584</v>
      </c>
      <c r="AQ163" s="139">
        <v>7584</v>
      </c>
      <c r="AR163" s="139">
        <v>7584</v>
      </c>
      <c r="AS163" s="139">
        <v>27468</v>
      </c>
      <c r="AT163" s="139">
        <v>27468</v>
      </c>
      <c r="AU163" s="139">
        <v>27468</v>
      </c>
      <c r="AV163" s="140"/>
    </row>
    <row r="164" spans="2:48" ht="15.75" customHeight="1" x14ac:dyDescent="0.2">
      <c r="B164" s="136" t="s">
        <v>145</v>
      </c>
      <c r="C164" s="137">
        <v>0</v>
      </c>
      <c r="D164" s="138">
        <v>0</v>
      </c>
      <c r="E164" s="139">
        <v>0</v>
      </c>
      <c r="F164" s="139">
        <v>0</v>
      </c>
      <c r="G164" s="139">
        <v>0</v>
      </c>
      <c r="H164" s="139">
        <v>0</v>
      </c>
      <c r="I164" s="139">
        <v>0</v>
      </c>
      <c r="J164" s="139">
        <v>0</v>
      </c>
      <c r="K164" s="139">
        <v>0</v>
      </c>
      <c r="L164" s="139">
        <v>0</v>
      </c>
      <c r="M164" s="139">
        <v>0</v>
      </c>
      <c r="N164" s="139">
        <v>0</v>
      </c>
      <c r="O164" s="139">
        <v>0</v>
      </c>
      <c r="P164" s="139">
        <v>0</v>
      </c>
      <c r="Q164" s="139">
        <v>0</v>
      </c>
      <c r="R164" s="139">
        <v>0</v>
      </c>
      <c r="S164" s="139">
        <v>0</v>
      </c>
      <c r="T164" s="139">
        <v>0</v>
      </c>
      <c r="U164" s="139">
        <v>0</v>
      </c>
      <c r="V164" s="139">
        <v>0</v>
      </c>
      <c r="W164" s="139">
        <v>0</v>
      </c>
      <c r="X164" s="139">
        <v>0</v>
      </c>
      <c r="Y164" s="139">
        <v>0</v>
      </c>
      <c r="Z164" s="139">
        <v>0</v>
      </c>
      <c r="AA164" s="139">
        <v>0</v>
      </c>
      <c r="AB164" s="139">
        <v>0</v>
      </c>
      <c r="AC164" s="139">
        <v>0</v>
      </c>
      <c r="AD164" s="139">
        <v>0</v>
      </c>
      <c r="AE164" s="139">
        <v>0</v>
      </c>
      <c r="AF164" s="139">
        <v>0</v>
      </c>
      <c r="AG164" s="139">
        <v>12720</v>
      </c>
      <c r="AH164" s="139">
        <v>12720</v>
      </c>
      <c r="AI164" s="139">
        <v>12720</v>
      </c>
      <c r="AJ164" s="139">
        <v>12720</v>
      </c>
      <c r="AK164" s="139">
        <v>12720</v>
      </c>
      <c r="AL164" s="139">
        <v>12720</v>
      </c>
      <c r="AM164" s="139">
        <v>12720</v>
      </c>
      <c r="AN164" s="139">
        <v>12720</v>
      </c>
      <c r="AO164" s="139">
        <v>12720</v>
      </c>
      <c r="AP164" s="139">
        <v>12720</v>
      </c>
      <c r="AQ164" s="139">
        <v>12720</v>
      </c>
      <c r="AR164" s="139">
        <v>12720</v>
      </c>
      <c r="AS164" s="139">
        <v>30528</v>
      </c>
      <c r="AT164" s="139">
        <v>30528</v>
      </c>
      <c r="AU164" s="139">
        <v>30528</v>
      </c>
      <c r="AV164" s="140"/>
    </row>
    <row r="165" spans="2:48" ht="15.75" customHeight="1" x14ac:dyDescent="0.2">
      <c r="B165" s="136" t="s">
        <v>146</v>
      </c>
      <c r="C165" s="137">
        <v>0</v>
      </c>
      <c r="D165" s="138">
        <v>0</v>
      </c>
      <c r="E165" s="139">
        <v>0</v>
      </c>
      <c r="F165" s="139">
        <v>0</v>
      </c>
      <c r="G165" s="139">
        <v>0</v>
      </c>
      <c r="H165" s="139">
        <v>0</v>
      </c>
      <c r="I165" s="139">
        <v>0</v>
      </c>
      <c r="J165" s="139">
        <v>0</v>
      </c>
      <c r="K165" s="139">
        <v>0</v>
      </c>
      <c r="L165" s="139">
        <v>0</v>
      </c>
      <c r="M165" s="139">
        <v>0</v>
      </c>
      <c r="N165" s="139">
        <v>0</v>
      </c>
      <c r="O165" s="139">
        <v>0</v>
      </c>
      <c r="P165" s="139">
        <v>0</v>
      </c>
      <c r="Q165" s="139">
        <v>0</v>
      </c>
      <c r="R165" s="139">
        <v>0</v>
      </c>
      <c r="S165" s="139">
        <v>0</v>
      </c>
      <c r="T165" s="139">
        <v>0</v>
      </c>
      <c r="U165" s="139">
        <v>0</v>
      </c>
      <c r="V165" s="139">
        <v>0</v>
      </c>
      <c r="W165" s="139">
        <v>0</v>
      </c>
      <c r="X165" s="139">
        <v>0</v>
      </c>
      <c r="Y165" s="139">
        <v>0</v>
      </c>
      <c r="Z165" s="139">
        <v>0</v>
      </c>
      <c r="AA165" s="139">
        <v>0</v>
      </c>
      <c r="AB165" s="139">
        <v>0</v>
      </c>
      <c r="AC165" s="139">
        <v>0</v>
      </c>
      <c r="AD165" s="139">
        <v>0</v>
      </c>
      <c r="AE165" s="139">
        <v>0</v>
      </c>
      <c r="AF165" s="139">
        <v>0</v>
      </c>
      <c r="AG165" s="139">
        <v>36000</v>
      </c>
      <c r="AH165" s="139">
        <v>36000</v>
      </c>
      <c r="AI165" s="139">
        <v>36000</v>
      </c>
      <c r="AJ165" s="139">
        <v>36000</v>
      </c>
      <c r="AK165" s="139">
        <v>36000</v>
      </c>
      <c r="AL165" s="139">
        <v>36000</v>
      </c>
      <c r="AM165" s="139">
        <v>36000</v>
      </c>
      <c r="AN165" s="139">
        <v>36000</v>
      </c>
      <c r="AO165" s="139">
        <v>36000</v>
      </c>
      <c r="AP165" s="139">
        <v>36000</v>
      </c>
      <c r="AQ165" s="139">
        <v>36000</v>
      </c>
      <c r="AR165" s="139">
        <v>36000</v>
      </c>
      <c r="AS165" s="139">
        <v>0</v>
      </c>
      <c r="AT165" s="139">
        <v>0</v>
      </c>
      <c r="AU165" s="139">
        <v>0</v>
      </c>
      <c r="AV165" s="140"/>
    </row>
    <row r="166" spans="2:48" ht="15.75" customHeight="1" x14ac:dyDescent="0.2">
      <c r="B166" s="136" t="s">
        <v>147</v>
      </c>
      <c r="C166" s="137">
        <v>0</v>
      </c>
      <c r="D166" s="138">
        <v>0</v>
      </c>
      <c r="E166" s="139">
        <v>0</v>
      </c>
      <c r="F166" s="139">
        <v>0</v>
      </c>
      <c r="G166" s="139">
        <v>0</v>
      </c>
      <c r="H166" s="139">
        <v>0</v>
      </c>
      <c r="I166" s="139">
        <v>0</v>
      </c>
      <c r="J166" s="139">
        <v>0</v>
      </c>
      <c r="K166" s="139">
        <v>0</v>
      </c>
      <c r="L166" s="139">
        <v>0</v>
      </c>
      <c r="M166" s="139">
        <v>0</v>
      </c>
      <c r="N166" s="139">
        <v>0</v>
      </c>
      <c r="O166" s="139">
        <v>0</v>
      </c>
      <c r="P166" s="139">
        <v>0</v>
      </c>
      <c r="Q166" s="139">
        <v>0</v>
      </c>
      <c r="R166" s="139">
        <v>0</v>
      </c>
      <c r="S166" s="139">
        <v>0</v>
      </c>
      <c r="T166" s="139">
        <v>0</v>
      </c>
      <c r="U166" s="139">
        <v>0</v>
      </c>
      <c r="V166" s="139">
        <v>0</v>
      </c>
      <c r="W166" s="139">
        <v>0</v>
      </c>
      <c r="X166" s="139">
        <v>0</v>
      </c>
      <c r="Y166" s="139">
        <v>0</v>
      </c>
      <c r="Z166" s="139">
        <v>0</v>
      </c>
      <c r="AA166" s="139">
        <v>0</v>
      </c>
      <c r="AB166" s="139">
        <v>0</v>
      </c>
      <c r="AC166" s="139">
        <v>0</v>
      </c>
      <c r="AD166" s="139">
        <v>0</v>
      </c>
      <c r="AE166" s="139">
        <v>0</v>
      </c>
      <c r="AF166" s="139">
        <v>0</v>
      </c>
      <c r="AG166" s="139">
        <v>18900</v>
      </c>
      <c r="AH166" s="139">
        <v>18900</v>
      </c>
      <c r="AI166" s="139">
        <v>18900</v>
      </c>
      <c r="AJ166" s="139">
        <v>18900</v>
      </c>
      <c r="AK166" s="139">
        <v>18900</v>
      </c>
      <c r="AL166" s="139">
        <v>18900</v>
      </c>
      <c r="AM166" s="139">
        <v>18900</v>
      </c>
      <c r="AN166" s="139">
        <v>18900</v>
      </c>
      <c r="AO166" s="139">
        <v>18900</v>
      </c>
      <c r="AP166" s="139">
        <v>18900</v>
      </c>
      <c r="AQ166" s="139">
        <v>18900</v>
      </c>
      <c r="AR166" s="139">
        <v>18900</v>
      </c>
      <c r="AS166" s="139">
        <v>0</v>
      </c>
      <c r="AT166" s="139">
        <v>0</v>
      </c>
      <c r="AU166" s="139">
        <v>0</v>
      </c>
      <c r="AV166" s="140"/>
    </row>
    <row r="167" spans="2:48" ht="15.75" customHeight="1" x14ac:dyDescent="0.2">
      <c r="B167" s="136" t="s">
        <v>148</v>
      </c>
      <c r="C167" s="137">
        <v>0</v>
      </c>
      <c r="D167" s="138">
        <v>0</v>
      </c>
      <c r="E167" s="139">
        <v>0</v>
      </c>
      <c r="F167" s="139">
        <v>0</v>
      </c>
      <c r="G167" s="139">
        <v>0</v>
      </c>
      <c r="H167" s="139">
        <v>0</v>
      </c>
      <c r="I167" s="139">
        <v>0</v>
      </c>
      <c r="J167" s="139">
        <v>0</v>
      </c>
      <c r="K167" s="139">
        <v>0</v>
      </c>
      <c r="L167" s="139">
        <v>0</v>
      </c>
      <c r="M167" s="139">
        <v>0</v>
      </c>
      <c r="N167" s="139">
        <v>0</v>
      </c>
      <c r="O167" s="139">
        <v>0</v>
      </c>
      <c r="P167" s="139">
        <v>0</v>
      </c>
      <c r="Q167" s="139">
        <v>0</v>
      </c>
      <c r="R167" s="139">
        <v>0</v>
      </c>
      <c r="S167" s="139">
        <v>0</v>
      </c>
      <c r="T167" s="139">
        <v>0</v>
      </c>
      <c r="U167" s="139">
        <v>0</v>
      </c>
      <c r="V167" s="139">
        <v>0</v>
      </c>
      <c r="W167" s="139">
        <v>0</v>
      </c>
      <c r="X167" s="139">
        <v>0</v>
      </c>
      <c r="Y167" s="139">
        <v>0</v>
      </c>
      <c r="Z167" s="139">
        <v>0</v>
      </c>
      <c r="AA167" s="139">
        <v>0</v>
      </c>
      <c r="AB167" s="139">
        <v>0</v>
      </c>
      <c r="AC167" s="139">
        <v>0</v>
      </c>
      <c r="AD167" s="139">
        <v>0</v>
      </c>
      <c r="AE167" s="139">
        <v>0</v>
      </c>
      <c r="AF167" s="139">
        <v>0</v>
      </c>
      <c r="AG167" s="139">
        <v>1824</v>
      </c>
      <c r="AH167" s="139">
        <v>1824</v>
      </c>
      <c r="AI167" s="139">
        <v>1824</v>
      </c>
      <c r="AJ167" s="139">
        <v>1824</v>
      </c>
      <c r="AK167" s="139">
        <v>1824</v>
      </c>
      <c r="AL167" s="139">
        <v>1824</v>
      </c>
      <c r="AM167" s="139">
        <v>1824</v>
      </c>
      <c r="AN167" s="139">
        <v>1824</v>
      </c>
      <c r="AO167" s="139">
        <v>1824</v>
      </c>
      <c r="AP167" s="139">
        <v>1824</v>
      </c>
      <c r="AQ167" s="139">
        <v>1824</v>
      </c>
      <c r="AR167" s="139">
        <v>1824</v>
      </c>
      <c r="AS167" s="139">
        <v>3456</v>
      </c>
      <c r="AT167" s="139">
        <v>3456</v>
      </c>
      <c r="AU167" s="139">
        <v>3456</v>
      </c>
      <c r="AV167" s="140"/>
    </row>
    <row r="168" spans="2:48" ht="15.75" customHeight="1" x14ac:dyDescent="0.2">
      <c r="B168" s="136" t="s">
        <v>149</v>
      </c>
      <c r="C168" s="137">
        <v>0</v>
      </c>
      <c r="D168" s="138">
        <v>0</v>
      </c>
      <c r="E168" s="139">
        <v>0</v>
      </c>
      <c r="F168" s="139">
        <v>0</v>
      </c>
      <c r="G168" s="139">
        <v>0</v>
      </c>
      <c r="H168" s="139">
        <v>0</v>
      </c>
      <c r="I168" s="139">
        <v>0</v>
      </c>
      <c r="J168" s="139">
        <v>0</v>
      </c>
      <c r="K168" s="139">
        <v>0</v>
      </c>
      <c r="L168" s="139">
        <v>0</v>
      </c>
      <c r="M168" s="139">
        <v>0</v>
      </c>
      <c r="N168" s="139">
        <v>0</v>
      </c>
      <c r="O168" s="139">
        <v>0</v>
      </c>
      <c r="P168" s="139">
        <v>0</v>
      </c>
      <c r="Q168" s="139">
        <v>0</v>
      </c>
      <c r="R168" s="139">
        <v>0</v>
      </c>
      <c r="S168" s="139">
        <v>0</v>
      </c>
      <c r="T168" s="139">
        <v>0</v>
      </c>
      <c r="U168" s="139">
        <v>0</v>
      </c>
      <c r="V168" s="139">
        <v>0</v>
      </c>
      <c r="W168" s="139">
        <v>0</v>
      </c>
      <c r="X168" s="139">
        <v>0</v>
      </c>
      <c r="Y168" s="139">
        <v>0</v>
      </c>
      <c r="Z168" s="139">
        <v>0</v>
      </c>
      <c r="AA168" s="139">
        <v>0</v>
      </c>
      <c r="AB168" s="139">
        <v>0</v>
      </c>
      <c r="AC168" s="139">
        <v>0</v>
      </c>
      <c r="AD168" s="139">
        <v>0</v>
      </c>
      <c r="AE168" s="139">
        <v>0</v>
      </c>
      <c r="AF168" s="139">
        <v>0</v>
      </c>
      <c r="AG168" s="139">
        <v>10560</v>
      </c>
      <c r="AH168" s="139">
        <v>10560</v>
      </c>
      <c r="AI168" s="139">
        <v>10560</v>
      </c>
      <c r="AJ168" s="139">
        <v>10560</v>
      </c>
      <c r="AK168" s="139">
        <v>10560</v>
      </c>
      <c r="AL168" s="139">
        <v>10560</v>
      </c>
      <c r="AM168" s="139">
        <v>10560</v>
      </c>
      <c r="AN168" s="139">
        <v>10560</v>
      </c>
      <c r="AO168" s="139">
        <v>10560</v>
      </c>
      <c r="AP168" s="139">
        <v>10560</v>
      </c>
      <c r="AQ168" s="139">
        <v>10560</v>
      </c>
      <c r="AR168" s="139">
        <v>10560</v>
      </c>
      <c r="AS168" s="139">
        <v>13860</v>
      </c>
      <c r="AT168" s="139">
        <v>13860</v>
      </c>
      <c r="AU168" s="139">
        <v>13860</v>
      </c>
      <c r="AV168" s="140"/>
    </row>
    <row r="169" spans="2:48" ht="15.75" customHeight="1" x14ac:dyDescent="0.2">
      <c r="B169" s="136" t="s">
        <v>150</v>
      </c>
      <c r="C169" s="137">
        <v>0</v>
      </c>
      <c r="D169" s="138">
        <v>0</v>
      </c>
      <c r="E169" s="139">
        <v>0</v>
      </c>
      <c r="F169" s="139">
        <v>0</v>
      </c>
      <c r="G169" s="139">
        <v>0</v>
      </c>
      <c r="H169" s="139">
        <v>0</v>
      </c>
      <c r="I169" s="139">
        <v>0</v>
      </c>
      <c r="J169" s="139">
        <v>0</v>
      </c>
      <c r="K169" s="139">
        <v>0</v>
      </c>
      <c r="L169" s="139">
        <v>0</v>
      </c>
      <c r="M169" s="139">
        <v>0</v>
      </c>
      <c r="N169" s="139">
        <v>0</v>
      </c>
      <c r="O169" s="139">
        <v>0</v>
      </c>
      <c r="P169" s="139">
        <v>0</v>
      </c>
      <c r="Q169" s="139">
        <v>0</v>
      </c>
      <c r="R169" s="139">
        <v>0</v>
      </c>
      <c r="S169" s="139">
        <v>0</v>
      </c>
      <c r="T169" s="139">
        <v>0</v>
      </c>
      <c r="U169" s="139">
        <v>0</v>
      </c>
      <c r="V169" s="139">
        <v>0</v>
      </c>
      <c r="W169" s="139">
        <v>0</v>
      </c>
      <c r="X169" s="139">
        <v>0</v>
      </c>
      <c r="Y169" s="139">
        <v>0</v>
      </c>
      <c r="Z169" s="139">
        <v>0</v>
      </c>
      <c r="AA169" s="139">
        <v>0</v>
      </c>
      <c r="AB169" s="139">
        <v>0</v>
      </c>
      <c r="AC169" s="139">
        <v>0</v>
      </c>
      <c r="AD169" s="139">
        <v>0</v>
      </c>
      <c r="AE169" s="139">
        <v>0</v>
      </c>
      <c r="AF169" s="139">
        <v>0</v>
      </c>
      <c r="AG169" s="139">
        <v>28080</v>
      </c>
      <c r="AH169" s="139">
        <v>28080</v>
      </c>
      <c r="AI169" s="139">
        <v>28080</v>
      </c>
      <c r="AJ169" s="139">
        <v>28080</v>
      </c>
      <c r="AK169" s="139">
        <v>28080</v>
      </c>
      <c r="AL169" s="139">
        <v>28080</v>
      </c>
      <c r="AM169" s="139">
        <v>28080</v>
      </c>
      <c r="AN169" s="139">
        <v>28080</v>
      </c>
      <c r="AO169" s="139">
        <v>28080</v>
      </c>
      <c r="AP169" s="139">
        <v>28080</v>
      </c>
      <c r="AQ169" s="139">
        <v>28080</v>
      </c>
      <c r="AR169" s="139">
        <v>28080</v>
      </c>
      <c r="AS169" s="139">
        <v>30780</v>
      </c>
      <c r="AT169" s="139">
        <v>30780</v>
      </c>
      <c r="AU169" s="139">
        <v>30780</v>
      </c>
      <c r="AV169" s="140"/>
    </row>
    <row r="170" spans="2:48" ht="15.75" customHeight="1" x14ac:dyDescent="0.2">
      <c r="B170" s="136" t="s">
        <v>151</v>
      </c>
      <c r="C170" s="137">
        <v>0</v>
      </c>
      <c r="D170" s="138">
        <v>0</v>
      </c>
      <c r="E170" s="139">
        <v>0</v>
      </c>
      <c r="F170" s="139">
        <v>0</v>
      </c>
      <c r="G170" s="139">
        <v>0</v>
      </c>
      <c r="H170" s="139">
        <v>0</v>
      </c>
      <c r="I170" s="139">
        <v>0</v>
      </c>
      <c r="J170" s="139">
        <v>0</v>
      </c>
      <c r="K170" s="139">
        <v>0</v>
      </c>
      <c r="L170" s="139">
        <v>0</v>
      </c>
      <c r="M170" s="139">
        <v>0</v>
      </c>
      <c r="N170" s="139">
        <v>0</v>
      </c>
      <c r="O170" s="139">
        <v>0</v>
      </c>
      <c r="P170" s="139">
        <v>0</v>
      </c>
      <c r="Q170" s="139">
        <v>0</v>
      </c>
      <c r="R170" s="139">
        <v>0</v>
      </c>
      <c r="S170" s="139">
        <v>0</v>
      </c>
      <c r="T170" s="139">
        <v>0</v>
      </c>
      <c r="U170" s="139">
        <v>0</v>
      </c>
      <c r="V170" s="139">
        <v>0</v>
      </c>
      <c r="W170" s="139">
        <v>0</v>
      </c>
      <c r="X170" s="139">
        <v>0</v>
      </c>
      <c r="Y170" s="139">
        <v>0</v>
      </c>
      <c r="Z170" s="139">
        <v>0</v>
      </c>
      <c r="AA170" s="139">
        <v>0</v>
      </c>
      <c r="AB170" s="139">
        <v>0</v>
      </c>
      <c r="AC170" s="139">
        <v>0</v>
      </c>
      <c r="AD170" s="139">
        <v>0</v>
      </c>
      <c r="AE170" s="139">
        <v>0</v>
      </c>
      <c r="AF170" s="139">
        <v>0</v>
      </c>
      <c r="AG170" s="139">
        <v>22500</v>
      </c>
      <c r="AH170" s="139">
        <v>22500</v>
      </c>
      <c r="AI170" s="139">
        <v>22500</v>
      </c>
      <c r="AJ170" s="139">
        <v>22500</v>
      </c>
      <c r="AK170" s="139">
        <v>22500</v>
      </c>
      <c r="AL170" s="139">
        <v>22500</v>
      </c>
      <c r="AM170" s="139">
        <v>22500</v>
      </c>
      <c r="AN170" s="139">
        <v>22500</v>
      </c>
      <c r="AO170" s="139">
        <v>22500</v>
      </c>
      <c r="AP170" s="139">
        <v>22500</v>
      </c>
      <c r="AQ170" s="139">
        <v>22500</v>
      </c>
      <c r="AR170" s="139">
        <v>22500</v>
      </c>
      <c r="AS170" s="139">
        <v>27090</v>
      </c>
      <c r="AT170" s="139">
        <v>27090</v>
      </c>
      <c r="AU170" s="139">
        <v>27090</v>
      </c>
      <c r="AV170" s="140"/>
    </row>
    <row r="171" spans="2:48" ht="15.75" customHeight="1" x14ac:dyDescent="0.2">
      <c r="B171" s="136" t="s">
        <v>152</v>
      </c>
      <c r="C171" s="137">
        <v>0</v>
      </c>
      <c r="D171" s="138">
        <v>0</v>
      </c>
      <c r="E171" s="139">
        <v>0</v>
      </c>
      <c r="F171" s="139">
        <v>0</v>
      </c>
      <c r="G171" s="139">
        <v>0</v>
      </c>
      <c r="H171" s="139">
        <v>0</v>
      </c>
      <c r="I171" s="139">
        <v>0</v>
      </c>
      <c r="J171" s="139">
        <v>0</v>
      </c>
      <c r="K171" s="139">
        <v>0</v>
      </c>
      <c r="L171" s="139">
        <v>0</v>
      </c>
      <c r="M171" s="139">
        <v>0</v>
      </c>
      <c r="N171" s="139">
        <v>0</v>
      </c>
      <c r="O171" s="139">
        <v>0</v>
      </c>
      <c r="P171" s="139">
        <v>0</v>
      </c>
      <c r="Q171" s="139">
        <v>0</v>
      </c>
      <c r="R171" s="139">
        <v>0</v>
      </c>
      <c r="S171" s="139">
        <v>0</v>
      </c>
      <c r="T171" s="139">
        <v>0</v>
      </c>
      <c r="U171" s="139">
        <v>0</v>
      </c>
      <c r="V171" s="139">
        <v>0</v>
      </c>
      <c r="W171" s="139">
        <v>0</v>
      </c>
      <c r="X171" s="139">
        <v>0</v>
      </c>
      <c r="Y171" s="139">
        <v>0</v>
      </c>
      <c r="Z171" s="139">
        <v>0</v>
      </c>
      <c r="AA171" s="139">
        <v>0</v>
      </c>
      <c r="AB171" s="139">
        <v>0</v>
      </c>
      <c r="AC171" s="139">
        <v>0</v>
      </c>
      <c r="AD171" s="139">
        <v>0</v>
      </c>
      <c r="AE171" s="139">
        <v>0</v>
      </c>
      <c r="AF171" s="139">
        <v>0</v>
      </c>
      <c r="AG171" s="139">
        <v>8160</v>
      </c>
      <c r="AH171" s="139">
        <v>8160</v>
      </c>
      <c r="AI171" s="139">
        <v>8160</v>
      </c>
      <c r="AJ171" s="139">
        <v>8160</v>
      </c>
      <c r="AK171" s="139">
        <v>8160</v>
      </c>
      <c r="AL171" s="139">
        <v>8160</v>
      </c>
      <c r="AM171" s="139">
        <v>8160</v>
      </c>
      <c r="AN171" s="139">
        <v>8160</v>
      </c>
      <c r="AO171" s="139">
        <v>8160</v>
      </c>
      <c r="AP171" s="139">
        <v>8160</v>
      </c>
      <c r="AQ171" s="139">
        <v>8160</v>
      </c>
      <c r="AR171" s="139">
        <v>8160</v>
      </c>
      <c r="AS171" s="139">
        <v>21012</v>
      </c>
      <c r="AT171" s="139">
        <v>21012</v>
      </c>
      <c r="AU171" s="139">
        <v>21012</v>
      </c>
      <c r="AV171" s="140"/>
    </row>
    <row r="172" spans="2:48" ht="15.75" customHeight="1" x14ac:dyDescent="0.2">
      <c r="B172" s="136" t="s">
        <v>153</v>
      </c>
      <c r="C172" s="137">
        <v>0</v>
      </c>
      <c r="D172" s="138">
        <v>0</v>
      </c>
      <c r="E172" s="139">
        <v>0</v>
      </c>
      <c r="F172" s="139">
        <v>0</v>
      </c>
      <c r="G172" s="139">
        <v>0</v>
      </c>
      <c r="H172" s="139">
        <v>0</v>
      </c>
      <c r="I172" s="139">
        <v>0</v>
      </c>
      <c r="J172" s="139">
        <v>0</v>
      </c>
      <c r="K172" s="139">
        <v>0</v>
      </c>
      <c r="L172" s="139">
        <v>0</v>
      </c>
      <c r="M172" s="139">
        <v>0</v>
      </c>
      <c r="N172" s="139">
        <v>0</v>
      </c>
      <c r="O172" s="139">
        <v>0</v>
      </c>
      <c r="P172" s="139">
        <v>0</v>
      </c>
      <c r="Q172" s="139">
        <v>0</v>
      </c>
      <c r="R172" s="139">
        <v>0</v>
      </c>
      <c r="S172" s="139">
        <v>0</v>
      </c>
      <c r="T172" s="139">
        <v>0</v>
      </c>
      <c r="U172" s="139">
        <v>0</v>
      </c>
      <c r="V172" s="139">
        <v>0</v>
      </c>
      <c r="W172" s="139">
        <v>0</v>
      </c>
      <c r="X172" s="139">
        <v>0</v>
      </c>
      <c r="Y172" s="139">
        <v>0</v>
      </c>
      <c r="Z172" s="139">
        <v>0</v>
      </c>
      <c r="AA172" s="139">
        <v>0</v>
      </c>
      <c r="AB172" s="139">
        <v>0</v>
      </c>
      <c r="AC172" s="139">
        <v>0</v>
      </c>
      <c r="AD172" s="139">
        <v>0</v>
      </c>
      <c r="AE172" s="139">
        <v>0</v>
      </c>
      <c r="AF172" s="139">
        <v>0</v>
      </c>
      <c r="AG172" s="139">
        <v>14040</v>
      </c>
      <c r="AH172" s="139">
        <v>14040</v>
      </c>
      <c r="AI172" s="139">
        <v>14040</v>
      </c>
      <c r="AJ172" s="139">
        <v>14040</v>
      </c>
      <c r="AK172" s="139">
        <v>14040</v>
      </c>
      <c r="AL172" s="139">
        <v>14040</v>
      </c>
      <c r="AM172" s="139">
        <v>14040</v>
      </c>
      <c r="AN172" s="139">
        <v>14040</v>
      </c>
      <c r="AO172" s="139">
        <v>14040</v>
      </c>
      <c r="AP172" s="139">
        <v>14040</v>
      </c>
      <c r="AQ172" s="139">
        <v>14040</v>
      </c>
      <c r="AR172" s="139">
        <v>14040</v>
      </c>
      <c r="AS172" s="139">
        <v>18684</v>
      </c>
      <c r="AT172" s="139">
        <v>18684</v>
      </c>
      <c r="AU172" s="139">
        <v>18684</v>
      </c>
      <c r="AV172" s="140"/>
    </row>
    <row r="173" spans="2:48" ht="15.75" customHeight="1" x14ac:dyDescent="0.2">
      <c r="B173" s="136" t="s">
        <v>154</v>
      </c>
      <c r="C173" s="137">
        <v>0</v>
      </c>
      <c r="D173" s="138">
        <v>0</v>
      </c>
      <c r="E173" s="139">
        <v>0</v>
      </c>
      <c r="F173" s="139">
        <v>0</v>
      </c>
      <c r="G173" s="139">
        <v>0</v>
      </c>
      <c r="H173" s="139">
        <v>0</v>
      </c>
      <c r="I173" s="139">
        <v>0</v>
      </c>
      <c r="J173" s="139">
        <v>0</v>
      </c>
      <c r="K173" s="139">
        <v>0</v>
      </c>
      <c r="L173" s="139">
        <v>0</v>
      </c>
      <c r="M173" s="139">
        <v>0</v>
      </c>
      <c r="N173" s="139">
        <v>0</v>
      </c>
      <c r="O173" s="139">
        <v>0</v>
      </c>
      <c r="P173" s="139">
        <v>0</v>
      </c>
      <c r="Q173" s="139">
        <v>0</v>
      </c>
      <c r="R173" s="139">
        <v>0</v>
      </c>
      <c r="S173" s="139">
        <v>0</v>
      </c>
      <c r="T173" s="139">
        <v>0</v>
      </c>
      <c r="U173" s="139">
        <v>0</v>
      </c>
      <c r="V173" s="139">
        <v>0</v>
      </c>
      <c r="W173" s="139">
        <v>0</v>
      </c>
      <c r="X173" s="139">
        <v>0</v>
      </c>
      <c r="Y173" s="139">
        <v>0</v>
      </c>
      <c r="Z173" s="139">
        <v>0</v>
      </c>
      <c r="AA173" s="139">
        <v>0</v>
      </c>
      <c r="AB173" s="139">
        <v>0</v>
      </c>
      <c r="AC173" s="139">
        <v>0</v>
      </c>
      <c r="AD173" s="139">
        <v>0</v>
      </c>
      <c r="AE173" s="139">
        <v>0</v>
      </c>
      <c r="AF173" s="139">
        <v>0</v>
      </c>
      <c r="AG173" s="139">
        <v>0</v>
      </c>
      <c r="AH173" s="139">
        <v>17100</v>
      </c>
      <c r="AI173" s="139">
        <v>17100</v>
      </c>
      <c r="AJ173" s="139">
        <v>17100</v>
      </c>
      <c r="AK173" s="139">
        <v>17100</v>
      </c>
      <c r="AL173" s="139">
        <v>17100</v>
      </c>
      <c r="AM173" s="139">
        <v>17100</v>
      </c>
      <c r="AN173" s="139">
        <v>17100</v>
      </c>
      <c r="AO173" s="139">
        <v>17100</v>
      </c>
      <c r="AP173" s="139">
        <v>17100</v>
      </c>
      <c r="AQ173" s="139">
        <v>17100</v>
      </c>
      <c r="AR173" s="139">
        <v>17100</v>
      </c>
      <c r="AS173" s="139">
        <v>17100</v>
      </c>
      <c r="AT173" s="139">
        <v>17100</v>
      </c>
      <c r="AU173" s="139">
        <v>17100</v>
      </c>
      <c r="AV173" s="140"/>
    </row>
    <row r="174" spans="2:48" ht="15.75" customHeight="1" x14ac:dyDescent="0.2">
      <c r="B174" s="136" t="s">
        <v>155</v>
      </c>
      <c r="C174" s="137">
        <v>0</v>
      </c>
      <c r="D174" s="138">
        <v>0</v>
      </c>
      <c r="E174" s="139">
        <v>0</v>
      </c>
      <c r="F174" s="139">
        <v>0</v>
      </c>
      <c r="G174" s="139">
        <v>0</v>
      </c>
      <c r="H174" s="139">
        <v>0</v>
      </c>
      <c r="I174" s="139">
        <v>0</v>
      </c>
      <c r="J174" s="139">
        <v>0</v>
      </c>
      <c r="K174" s="139">
        <v>0</v>
      </c>
      <c r="L174" s="139">
        <v>0</v>
      </c>
      <c r="M174" s="139">
        <v>0</v>
      </c>
      <c r="N174" s="139">
        <v>0</v>
      </c>
      <c r="O174" s="139">
        <v>0</v>
      </c>
      <c r="P174" s="139">
        <v>0</v>
      </c>
      <c r="Q174" s="139">
        <v>0</v>
      </c>
      <c r="R174" s="139">
        <v>0</v>
      </c>
      <c r="S174" s="139">
        <v>0</v>
      </c>
      <c r="T174" s="139">
        <v>0</v>
      </c>
      <c r="U174" s="139">
        <v>0</v>
      </c>
      <c r="V174" s="139">
        <v>0</v>
      </c>
      <c r="W174" s="139">
        <v>0</v>
      </c>
      <c r="X174" s="139">
        <v>0</v>
      </c>
      <c r="Y174" s="139">
        <v>0</v>
      </c>
      <c r="Z174" s="139">
        <v>0</v>
      </c>
      <c r="AA174" s="139">
        <v>0</v>
      </c>
      <c r="AB174" s="139">
        <v>0</v>
      </c>
      <c r="AC174" s="139">
        <v>0</v>
      </c>
      <c r="AD174" s="139">
        <v>0</v>
      </c>
      <c r="AE174" s="139">
        <v>0</v>
      </c>
      <c r="AF174" s="139">
        <v>0</v>
      </c>
      <c r="AG174" s="139">
        <v>0</v>
      </c>
      <c r="AH174" s="139">
        <v>10080</v>
      </c>
      <c r="AI174" s="139">
        <v>10080</v>
      </c>
      <c r="AJ174" s="139">
        <v>10080</v>
      </c>
      <c r="AK174" s="139">
        <v>10080</v>
      </c>
      <c r="AL174" s="139">
        <v>10080</v>
      </c>
      <c r="AM174" s="139">
        <v>10080</v>
      </c>
      <c r="AN174" s="139">
        <v>10080</v>
      </c>
      <c r="AO174" s="139">
        <v>10080</v>
      </c>
      <c r="AP174" s="139">
        <v>10080</v>
      </c>
      <c r="AQ174" s="139">
        <v>10080</v>
      </c>
      <c r="AR174" s="139">
        <v>10080</v>
      </c>
      <c r="AS174" s="139">
        <v>10080</v>
      </c>
      <c r="AT174" s="139">
        <v>17250</v>
      </c>
      <c r="AU174" s="139">
        <v>17250</v>
      </c>
      <c r="AV174" s="140"/>
    </row>
    <row r="175" spans="2:48" ht="15.75" customHeight="1" x14ac:dyDescent="0.2">
      <c r="B175" s="136" t="s">
        <v>156</v>
      </c>
      <c r="C175" s="137">
        <v>0</v>
      </c>
      <c r="D175" s="138">
        <v>0</v>
      </c>
      <c r="E175" s="139">
        <v>0</v>
      </c>
      <c r="F175" s="139">
        <v>0</v>
      </c>
      <c r="G175" s="139">
        <v>0</v>
      </c>
      <c r="H175" s="139">
        <v>0</v>
      </c>
      <c r="I175" s="139">
        <v>0</v>
      </c>
      <c r="J175" s="139">
        <v>0</v>
      </c>
      <c r="K175" s="139">
        <v>0</v>
      </c>
      <c r="L175" s="139">
        <v>0</v>
      </c>
      <c r="M175" s="139">
        <v>0</v>
      </c>
      <c r="N175" s="139">
        <v>0</v>
      </c>
      <c r="O175" s="139">
        <v>0</v>
      </c>
      <c r="P175" s="139">
        <v>0</v>
      </c>
      <c r="Q175" s="139">
        <v>0</v>
      </c>
      <c r="R175" s="139">
        <v>0</v>
      </c>
      <c r="S175" s="139">
        <v>0</v>
      </c>
      <c r="T175" s="139">
        <v>0</v>
      </c>
      <c r="U175" s="139">
        <v>0</v>
      </c>
      <c r="V175" s="139">
        <v>0</v>
      </c>
      <c r="W175" s="139">
        <v>0</v>
      </c>
      <c r="X175" s="139">
        <v>0</v>
      </c>
      <c r="Y175" s="139">
        <v>0</v>
      </c>
      <c r="Z175" s="139">
        <v>0</v>
      </c>
      <c r="AA175" s="139">
        <v>0</v>
      </c>
      <c r="AB175" s="139">
        <v>0</v>
      </c>
      <c r="AC175" s="139">
        <v>0</v>
      </c>
      <c r="AD175" s="139">
        <v>0</v>
      </c>
      <c r="AE175" s="139">
        <v>0</v>
      </c>
      <c r="AF175" s="139">
        <v>0</v>
      </c>
      <c r="AG175" s="139">
        <v>0</v>
      </c>
      <c r="AH175" s="139">
        <v>6000</v>
      </c>
      <c r="AI175" s="139">
        <v>6000</v>
      </c>
      <c r="AJ175" s="139">
        <v>6000</v>
      </c>
      <c r="AK175" s="139">
        <v>6000</v>
      </c>
      <c r="AL175" s="139">
        <v>6000</v>
      </c>
      <c r="AM175" s="139">
        <v>6000</v>
      </c>
      <c r="AN175" s="139">
        <v>6000</v>
      </c>
      <c r="AO175" s="139">
        <v>6000</v>
      </c>
      <c r="AP175" s="139">
        <v>6000</v>
      </c>
      <c r="AQ175" s="139">
        <v>6000</v>
      </c>
      <c r="AR175" s="139">
        <v>6000</v>
      </c>
      <c r="AS175" s="139">
        <v>6000</v>
      </c>
      <c r="AT175" s="139">
        <v>0</v>
      </c>
      <c r="AU175" s="139">
        <v>0</v>
      </c>
      <c r="AV175" s="140"/>
    </row>
    <row r="176" spans="2:48" ht="15.75" customHeight="1" x14ac:dyDescent="0.2">
      <c r="B176" s="136" t="s">
        <v>157</v>
      </c>
      <c r="C176" s="137">
        <v>0</v>
      </c>
      <c r="D176" s="138">
        <v>0</v>
      </c>
      <c r="E176" s="139">
        <v>0</v>
      </c>
      <c r="F176" s="139">
        <v>0</v>
      </c>
      <c r="G176" s="139">
        <v>0</v>
      </c>
      <c r="H176" s="139">
        <v>0</v>
      </c>
      <c r="I176" s="139">
        <v>0</v>
      </c>
      <c r="J176" s="139">
        <v>0</v>
      </c>
      <c r="K176" s="139">
        <v>0</v>
      </c>
      <c r="L176" s="139">
        <v>0</v>
      </c>
      <c r="M176" s="139">
        <v>0</v>
      </c>
      <c r="N176" s="139">
        <v>0</v>
      </c>
      <c r="O176" s="139">
        <v>0</v>
      </c>
      <c r="P176" s="139">
        <v>0</v>
      </c>
      <c r="Q176" s="139">
        <v>0</v>
      </c>
      <c r="R176" s="139">
        <v>0</v>
      </c>
      <c r="S176" s="139">
        <v>0</v>
      </c>
      <c r="T176" s="139">
        <v>0</v>
      </c>
      <c r="U176" s="139">
        <v>0</v>
      </c>
      <c r="V176" s="139">
        <v>0</v>
      </c>
      <c r="W176" s="139">
        <v>0</v>
      </c>
      <c r="X176" s="139">
        <v>0</v>
      </c>
      <c r="Y176" s="139">
        <v>0</v>
      </c>
      <c r="Z176" s="139">
        <v>0</v>
      </c>
      <c r="AA176" s="139">
        <v>0</v>
      </c>
      <c r="AB176" s="139">
        <v>0</v>
      </c>
      <c r="AC176" s="139">
        <v>0</v>
      </c>
      <c r="AD176" s="139">
        <v>0</v>
      </c>
      <c r="AE176" s="139">
        <v>0</v>
      </c>
      <c r="AF176" s="139">
        <v>0</v>
      </c>
      <c r="AG176" s="139">
        <v>0</v>
      </c>
      <c r="AH176" s="139">
        <v>9600</v>
      </c>
      <c r="AI176" s="139">
        <v>9600</v>
      </c>
      <c r="AJ176" s="139">
        <v>9600</v>
      </c>
      <c r="AK176" s="139">
        <v>9600</v>
      </c>
      <c r="AL176" s="139">
        <v>9600</v>
      </c>
      <c r="AM176" s="139">
        <v>9600</v>
      </c>
      <c r="AN176" s="139">
        <v>9600</v>
      </c>
      <c r="AO176" s="139">
        <v>9600</v>
      </c>
      <c r="AP176" s="139">
        <v>9600</v>
      </c>
      <c r="AQ176" s="139">
        <v>9600</v>
      </c>
      <c r="AR176" s="139">
        <v>9600</v>
      </c>
      <c r="AS176" s="139">
        <v>14440</v>
      </c>
      <c r="AT176" s="139">
        <v>14440</v>
      </c>
      <c r="AU176" s="139">
        <v>14440</v>
      </c>
      <c r="AV176" s="140"/>
    </row>
    <row r="177" spans="2:48" ht="15.75" customHeight="1" x14ac:dyDescent="0.2">
      <c r="B177" s="136" t="s">
        <v>158</v>
      </c>
      <c r="C177" s="137">
        <v>0</v>
      </c>
      <c r="D177" s="138">
        <v>0</v>
      </c>
      <c r="E177" s="139">
        <v>0</v>
      </c>
      <c r="F177" s="139">
        <v>0</v>
      </c>
      <c r="G177" s="139">
        <v>0</v>
      </c>
      <c r="H177" s="139">
        <v>0</v>
      </c>
      <c r="I177" s="139">
        <v>0</v>
      </c>
      <c r="J177" s="139">
        <v>0</v>
      </c>
      <c r="K177" s="139">
        <v>0</v>
      </c>
      <c r="L177" s="139">
        <v>0</v>
      </c>
      <c r="M177" s="139">
        <v>0</v>
      </c>
      <c r="N177" s="139">
        <v>0</v>
      </c>
      <c r="O177" s="139">
        <v>0</v>
      </c>
      <c r="P177" s="139">
        <v>0</v>
      </c>
      <c r="Q177" s="139">
        <v>0</v>
      </c>
      <c r="R177" s="139">
        <v>0</v>
      </c>
      <c r="S177" s="139">
        <v>0</v>
      </c>
      <c r="T177" s="139">
        <v>0</v>
      </c>
      <c r="U177" s="139">
        <v>0</v>
      </c>
      <c r="V177" s="139">
        <v>0</v>
      </c>
      <c r="W177" s="139">
        <v>0</v>
      </c>
      <c r="X177" s="139">
        <v>0</v>
      </c>
      <c r="Y177" s="139">
        <v>0</v>
      </c>
      <c r="Z177" s="139">
        <v>0</v>
      </c>
      <c r="AA177" s="139">
        <v>0</v>
      </c>
      <c r="AB177" s="139">
        <v>0</v>
      </c>
      <c r="AC177" s="139">
        <v>0</v>
      </c>
      <c r="AD177" s="139">
        <v>0</v>
      </c>
      <c r="AE177" s="139">
        <v>0</v>
      </c>
      <c r="AF177" s="139">
        <v>0</v>
      </c>
      <c r="AG177" s="139">
        <v>0</v>
      </c>
      <c r="AH177" s="139">
        <v>15156</v>
      </c>
      <c r="AI177" s="139">
        <v>15156</v>
      </c>
      <c r="AJ177" s="139">
        <v>15156</v>
      </c>
      <c r="AK177" s="139">
        <v>15156</v>
      </c>
      <c r="AL177" s="139">
        <v>15156</v>
      </c>
      <c r="AM177" s="139">
        <v>15156</v>
      </c>
      <c r="AN177" s="139">
        <v>15156</v>
      </c>
      <c r="AO177" s="139">
        <v>15156</v>
      </c>
      <c r="AP177" s="139">
        <v>15156</v>
      </c>
      <c r="AQ177" s="139">
        <v>15156</v>
      </c>
      <c r="AR177" s="139">
        <v>15156</v>
      </c>
      <c r="AS177" s="139">
        <v>15156</v>
      </c>
      <c r="AT177" s="139">
        <v>16488</v>
      </c>
      <c r="AU177" s="139">
        <v>16488</v>
      </c>
      <c r="AV177" s="140"/>
    </row>
    <row r="178" spans="2:48" ht="15.75" customHeight="1" x14ac:dyDescent="0.2">
      <c r="B178" s="136" t="s">
        <v>159</v>
      </c>
      <c r="C178" s="137">
        <v>0</v>
      </c>
      <c r="D178" s="138">
        <v>0</v>
      </c>
      <c r="E178" s="139">
        <v>0</v>
      </c>
      <c r="F178" s="139">
        <v>0</v>
      </c>
      <c r="G178" s="139">
        <v>0</v>
      </c>
      <c r="H178" s="139">
        <v>0</v>
      </c>
      <c r="I178" s="139">
        <v>0</v>
      </c>
      <c r="J178" s="139">
        <v>0</v>
      </c>
      <c r="K178" s="139">
        <v>0</v>
      </c>
      <c r="L178" s="139">
        <v>0</v>
      </c>
      <c r="M178" s="139">
        <v>0</v>
      </c>
      <c r="N178" s="139">
        <v>0</v>
      </c>
      <c r="O178" s="139">
        <v>0</v>
      </c>
      <c r="P178" s="139">
        <v>0</v>
      </c>
      <c r="Q178" s="139">
        <v>0</v>
      </c>
      <c r="R178" s="139">
        <v>0</v>
      </c>
      <c r="S178" s="139">
        <v>0</v>
      </c>
      <c r="T178" s="139">
        <v>0</v>
      </c>
      <c r="U178" s="139">
        <v>0</v>
      </c>
      <c r="V178" s="139">
        <v>0</v>
      </c>
      <c r="W178" s="139">
        <v>0</v>
      </c>
      <c r="X178" s="139">
        <v>0</v>
      </c>
      <c r="Y178" s="139">
        <v>0</v>
      </c>
      <c r="Z178" s="139">
        <v>0</v>
      </c>
      <c r="AA178" s="139">
        <v>0</v>
      </c>
      <c r="AB178" s="139">
        <v>0</v>
      </c>
      <c r="AC178" s="139">
        <v>0</v>
      </c>
      <c r="AD178" s="139">
        <v>0</v>
      </c>
      <c r="AE178" s="139">
        <v>0</v>
      </c>
      <c r="AF178" s="139">
        <v>0</v>
      </c>
      <c r="AG178" s="139">
        <v>0</v>
      </c>
      <c r="AH178" s="139">
        <v>6000</v>
      </c>
      <c r="AI178" s="139">
        <v>6000</v>
      </c>
      <c r="AJ178" s="139">
        <v>6000</v>
      </c>
      <c r="AK178" s="139">
        <v>6000</v>
      </c>
      <c r="AL178" s="139">
        <v>6000</v>
      </c>
      <c r="AM178" s="139">
        <v>6000</v>
      </c>
      <c r="AN178" s="139">
        <v>6000</v>
      </c>
      <c r="AO178" s="139">
        <v>6000</v>
      </c>
      <c r="AP178" s="139">
        <v>6000</v>
      </c>
      <c r="AQ178" s="139">
        <v>6000</v>
      </c>
      <c r="AR178" s="139">
        <v>6000</v>
      </c>
      <c r="AS178" s="139">
        <v>6000</v>
      </c>
      <c r="AT178" s="139">
        <v>0</v>
      </c>
      <c r="AU178" s="139">
        <v>0</v>
      </c>
      <c r="AV178" s="140"/>
    </row>
    <row r="179" spans="2:48" ht="15.75" customHeight="1" x14ac:dyDescent="0.2">
      <c r="B179" s="136" t="s">
        <v>160</v>
      </c>
      <c r="C179" s="137">
        <v>0</v>
      </c>
      <c r="D179" s="138">
        <v>0</v>
      </c>
      <c r="E179" s="139">
        <v>0</v>
      </c>
      <c r="F179" s="139">
        <v>0</v>
      </c>
      <c r="G179" s="139">
        <v>0</v>
      </c>
      <c r="H179" s="139">
        <v>0</v>
      </c>
      <c r="I179" s="139">
        <v>0</v>
      </c>
      <c r="J179" s="139">
        <v>0</v>
      </c>
      <c r="K179" s="139">
        <v>0</v>
      </c>
      <c r="L179" s="139">
        <v>0</v>
      </c>
      <c r="M179" s="139">
        <v>0</v>
      </c>
      <c r="N179" s="139">
        <v>0</v>
      </c>
      <c r="O179" s="139">
        <v>0</v>
      </c>
      <c r="P179" s="139">
        <v>0</v>
      </c>
      <c r="Q179" s="139">
        <v>0</v>
      </c>
      <c r="R179" s="139">
        <v>0</v>
      </c>
      <c r="S179" s="139">
        <v>0</v>
      </c>
      <c r="T179" s="139">
        <v>0</v>
      </c>
      <c r="U179" s="139">
        <v>0</v>
      </c>
      <c r="V179" s="139">
        <v>0</v>
      </c>
      <c r="W179" s="139">
        <v>0</v>
      </c>
      <c r="X179" s="139">
        <v>0</v>
      </c>
      <c r="Y179" s="139">
        <v>0</v>
      </c>
      <c r="Z179" s="139">
        <v>0</v>
      </c>
      <c r="AA179" s="139">
        <v>0</v>
      </c>
      <c r="AB179" s="139">
        <v>0</v>
      </c>
      <c r="AC179" s="139">
        <v>0</v>
      </c>
      <c r="AD179" s="139">
        <v>0</v>
      </c>
      <c r="AE179" s="139">
        <v>0</v>
      </c>
      <c r="AF179" s="139">
        <v>0</v>
      </c>
      <c r="AG179" s="139">
        <v>0</v>
      </c>
      <c r="AH179" s="139">
        <v>31176</v>
      </c>
      <c r="AI179" s="139">
        <v>31176</v>
      </c>
      <c r="AJ179" s="139">
        <v>31176</v>
      </c>
      <c r="AK179" s="139">
        <v>31176</v>
      </c>
      <c r="AL179" s="139">
        <v>31176</v>
      </c>
      <c r="AM179" s="139">
        <v>31176</v>
      </c>
      <c r="AN179" s="139">
        <v>31176</v>
      </c>
      <c r="AO179" s="139">
        <v>31176</v>
      </c>
      <c r="AP179" s="139">
        <v>31176</v>
      </c>
      <c r="AQ179" s="139">
        <v>31176</v>
      </c>
      <c r="AR179" s="139">
        <v>31176</v>
      </c>
      <c r="AS179" s="139">
        <v>31176</v>
      </c>
      <c r="AT179" s="139">
        <v>67896</v>
      </c>
      <c r="AU179" s="139">
        <v>67896</v>
      </c>
      <c r="AV179" s="140"/>
    </row>
    <row r="180" spans="2:48" ht="15.75" customHeight="1" x14ac:dyDescent="0.2">
      <c r="B180" s="136" t="s">
        <v>161</v>
      </c>
      <c r="C180" s="137">
        <v>0</v>
      </c>
      <c r="D180" s="138">
        <v>0</v>
      </c>
      <c r="E180" s="139">
        <v>0</v>
      </c>
      <c r="F180" s="139">
        <v>0</v>
      </c>
      <c r="G180" s="139">
        <v>0</v>
      </c>
      <c r="H180" s="139">
        <v>0</v>
      </c>
      <c r="I180" s="139">
        <v>0</v>
      </c>
      <c r="J180" s="139">
        <v>0</v>
      </c>
      <c r="K180" s="139">
        <v>0</v>
      </c>
      <c r="L180" s="139">
        <v>0</v>
      </c>
      <c r="M180" s="139">
        <v>0</v>
      </c>
      <c r="N180" s="139">
        <v>0</v>
      </c>
      <c r="O180" s="139">
        <v>0</v>
      </c>
      <c r="P180" s="139">
        <v>0</v>
      </c>
      <c r="Q180" s="139">
        <v>0</v>
      </c>
      <c r="R180" s="139">
        <v>0</v>
      </c>
      <c r="S180" s="139">
        <v>0</v>
      </c>
      <c r="T180" s="139">
        <v>0</v>
      </c>
      <c r="U180" s="139">
        <v>0</v>
      </c>
      <c r="V180" s="139">
        <v>0</v>
      </c>
      <c r="W180" s="139">
        <v>0</v>
      </c>
      <c r="X180" s="139">
        <v>0</v>
      </c>
      <c r="Y180" s="139">
        <v>0</v>
      </c>
      <c r="Z180" s="139">
        <v>0</v>
      </c>
      <c r="AA180" s="139">
        <v>0</v>
      </c>
      <c r="AB180" s="139">
        <v>0</v>
      </c>
      <c r="AC180" s="139">
        <v>0</v>
      </c>
      <c r="AD180" s="139">
        <v>0</v>
      </c>
      <c r="AE180" s="139">
        <v>0</v>
      </c>
      <c r="AF180" s="139">
        <v>0</v>
      </c>
      <c r="AG180" s="139">
        <v>0</v>
      </c>
      <c r="AH180" s="139">
        <v>8568</v>
      </c>
      <c r="AI180" s="139">
        <v>8568</v>
      </c>
      <c r="AJ180" s="139">
        <v>8568</v>
      </c>
      <c r="AK180" s="139">
        <v>8568</v>
      </c>
      <c r="AL180" s="139">
        <v>8568</v>
      </c>
      <c r="AM180" s="139">
        <v>8568</v>
      </c>
      <c r="AN180" s="139">
        <v>8568</v>
      </c>
      <c r="AO180" s="139">
        <v>8568</v>
      </c>
      <c r="AP180" s="139">
        <v>8568</v>
      </c>
      <c r="AQ180" s="139">
        <v>8568</v>
      </c>
      <c r="AR180" s="139">
        <v>8568</v>
      </c>
      <c r="AS180" s="139">
        <v>8568</v>
      </c>
      <c r="AT180" s="139">
        <v>11730</v>
      </c>
      <c r="AU180" s="139">
        <v>11730</v>
      </c>
      <c r="AV180" s="140"/>
    </row>
    <row r="181" spans="2:48" ht="15.75" customHeight="1" x14ac:dyDescent="0.2">
      <c r="B181" s="136" t="s">
        <v>162</v>
      </c>
      <c r="C181" s="137">
        <v>0</v>
      </c>
      <c r="D181" s="138">
        <v>0</v>
      </c>
      <c r="E181" s="139">
        <v>0</v>
      </c>
      <c r="F181" s="139">
        <v>0</v>
      </c>
      <c r="G181" s="139">
        <v>0</v>
      </c>
      <c r="H181" s="139">
        <v>0</v>
      </c>
      <c r="I181" s="139">
        <v>0</v>
      </c>
      <c r="J181" s="139">
        <v>0</v>
      </c>
      <c r="K181" s="139">
        <v>0</v>
      </c>
      <c r="L181" s="139">
        <v>0</v>
      </c>
      <c r="M181" s="139">
        <v>0</v>
      </c>
      <c r="N181" s="139">
        <v>0</v>
      </c>
      <c r="O181" s="139">
        <v>0</v>
      </c>
      <c r="P181" s="139">
        <v>0</v>
      </c>
      <c r="Q181" s="139">
        <v>0</v>
      </c>
      <c r="R181" s="139">
        <v>0</v>
      </c>
      <c r="S181" s="139">
        <v>0</v>
      </c>
      <c r="T181" s="139">
        <v>0</v>
      </c>
      <c r="U181" s="139">
        <v>0</v>
      </c>
      <c r="V181" s="139">
        <v>0</v>
      </c>
      <c r="W181" s="139">
        <v>0</v>
      </c>
      <c r="X181" s="139">
        <v>0</v>
      </c>
      <c r="Y181" s="139">
        <v>0</v>
      </c>
      <c r="Z181" s="139">
        <v>0</v>
      </c>
      <c r="AA181" s="139">
        <v>0</v>
      </c>
      <c r="AB181" s="139">
        <v>0</v>
      </c>
      <c r="AC181" s="139">
        <v>0</v>
      </c>
      <c r="AD181" s="139">
        <v>0</v>
      </c>
      <c r="AE181" s="139">
        <v>0</v>
      </c>
      <c r="AF181" s="139">
        <v>0</v>
      </c>
      <c r="AG181" s="139">
        <v>0</v>
      </c>
      <c r="AH181" s="139">
        <v>34560</v>
      </c>
      <c r="AI181" s="139">
        <v>34560</v>
      </c>
      <c r="AJ181" s="139">
        <v>34560</v>
      </c>
      <c r="AK181" s="139">
        <v>34560</v>
      </c>
      <c r="AL181" s="139">
        <v>34560</v>
      </c>
      <c r="AM181" s="139">
        <v>34560</v>
      </c>
      <c r="AN181" s="139">
        <v>34560</v>
      </c>
      <c r="AO181" s="139">
        <v>34560</v>
      </c>
      <c r="AP181" s="139">
        <v>34560</v>
      </c>
      <c r="AQ181" s="139">
        <v>34560</v>
      </c>
      <c r="AR181" s="139">
        <v>34560</v>
      </c>
      <c r="AS181" s="139">
        <v>34560</v>
      </c>
      <c r="AT181" s="139">
        <v>61632</v>
      </c>
      <c r="AU181" s="139">
        <v>61632</v>
      </c>
      <c r="AV181" s="140"/>
    </row>
    <row r="182" spans="2:48" ht="15.75" customHeight="1" x14ac:dyDescent="0.2">
      <c r="B182" s="136" t="s">
        <v>163</v>
      </c>
      <c r="C182" s="137">
        <v>0</v>
      </c>
      <c r="D182" s="138">
        <v>0</v>
      </c>
      <c r="E182" s="139">
        <v>0</v>
      </c>
      <c r="F182" s="139">
        <v>0</v>
      </c>
      <c r="G182" s="139">
        <v>0</v>
      </c>
      <c r="H182" s="139">
        <v>0</v>
      </c>
      <c r="I182" s="139">
        <v>0</v>
      </c>
      <c r="J182" s="139">
        <v>0</v>
      </c>
      <c r="K182" s="139">
        <v>0</v>
      </c>
      <c r="L182" s="139">
        <v>0</v>
      </c>
      <c r="M182" s="139">
        <v>0</v>
      </c>
      <c r="N182" s="139">
        <v>0</v>
      </c>
      <c r="O182" s="139">
        <v>0</v>
      </c>
      <c r="P182" s="139">
        <v>0</v>
      </c>
      <c r="Q182" s="139">
        <v>0</v>
      </c>
      <c r="R182" s="139">
        <v>0</v>
      </c>
      <c r="S182" s="139">
        <v>0</v>
      </c>
      <c r="T182" s="139">
        <v>0</v>
      </c>
      <c r="U182" s="139">
        <v>0</v>
      </c>
      <c r="V182" s="139">
        <v>0</v>
      </c>
      <c r="W182" s="139">
        <v>0</v>
      </c>
      <c r="X182" s="139">
        <v>0</v>
      </c>
      <c r="Y182" s="139">
        <v>0</v>
      </c>
      <c r="Z182" s="139">
        <v>0</v>
      </c>
      <c r="AA182" s="139">
        <v>0</v>
      </c>
      <c r="AB182" s="139">
        <v>0</v>
      </c>
      <c r="AC182" s="139">
        <v>0</v>
      </c>
      <c r="AD182" s="139">
        <v>0</v>
      </c>
      <c r="AE182" s="139">
        <v>0</v>
      </c>
      <c r="AF182" s="139">
        <v>0</v>
      </c>
      <c r="AG182" s="139">
        <v>0</v>
      </c>
      <c r="AH182" s="139">
        <v>45900</v>
      </c>
      <c r="AI182" s="139">
        <v>45900</v>
      </c>
      <c r="AJ182" s="139">
        <v>45900</v>
      </c>
      <c r="AK182" s="139">
        <v>45900</v>
      </c>
      <c r="AL182" s="139">
        <v>45900</v>
      </c>
      <c r="AM182" s="139">
        <v>45900</v>
      </c>
      <c r="AN182" s="139">
        <v>45900</v>
      </c>
      <c r="AO182" s="139">
        <v>45900</v>
      </c>
      <c r="AP182" s="139">
        <v>45900</v>
      </c>
      <c r="AQ182" s="139">
        <v>45900</v>
      </c>
      <c r="AR182" s="139">
        <v>45900</v>
      </c>
      <c r="AS182" s="139">
        <v>45900</v>
      </c>
      <c r="AT182" s="139">
        <v>45900</v>
      </c>
      <c r="AU182" s="139">
        <v>75000</v>
      </c>
      <c r="AV182" s="140"/>
    </row>
    <row r="183" spans="2:48" ht="15.75" customHeight="1" x14ac:dyDescent="0.2">
      <c r="B183" s="136" t="s">
        <v>164</v>
      </c>
      <c r="C183" s="137">
        <v>0</v>
      </c>
      <c r="D183" s="138">
        <v>0</v>
      </c>
      <c r="E183" s="139">
        <v>0</v>
      </c>
      <c r="F183" s="139">
        <v>0</v>
      </c>
      <c r="G183" s="139">
        <v>0</v>
      </c>
      <c r="H183" s="139">
        <v>0</v>
      </c>
      <c r="I183" s="139">
        <v>0</v>
      </c>
      <c r="J183" s="139">
        <v>0</v>
      </c>
      <c r="K183" s="139">
        <v>0</v>
      </c>
      <c r="L183" s="139">
        <v>0</v>
      </c>
      <c r="M183" s="139">
        <v>0</v>
      </c>
      <c r="N183" s="139">
        <v>0</v>
      </c>
      <c r="O183" s="139">
        <v>0</v>
      </c>
      <c r="P183" s="139">
        <v>0</v>
      </c>
      <c r="Q183" s="139">
        <v>0</v>
      </c>
      <c r="R183" s="139">
        <v>0</v>
      </c>
      <c r="S183" s="139">
        <v>0</v>
      </c>
      <c r="T183" s="139">
        <v>0</v>
      </c>
      <c r="U183" s="139">
        <v>0</v>
      </c>
      <c r="V183" s="139">
        <v>0</v>
      </c>
      <c r="W183" s="139">
        <v>0</v>
      </c>
      <c r="X183" s="139">
        <v>0</v>
      </c>
      <c r="Y183" s="139">
        <v>0</v>
      </c>
      <c r="Z183" s="139">
        <v>0</v>
      </c>
      <c r="AA183" s="139">
        <v>0</v>
      </c>
      <c r="AB183" s="139">
        <v>0</v>
      </c>
      <c r="AC183" s="139">
        <v>0</v>
      </c>
      <c r="AD183" s="139">
        <v>0</v>
      </c>
      <c r="AE183" s="139">
        <v>0</v>
      </c>
      <c r="AF183" s="139">
        <v>0</v>
      </c>
      <c r="AG183" s="139">
        <v>0</v>
      </c>
      <c r="AH183" s="139">
        <v>9540</v>
      </c>
      <c r="AI183" s="139">
        <v>9540</v>
      </c>
      <c r="AJ183" s="139">
        <v>9540</v>
      </c>
      <c r="AK183" s="139">
        <v>9540</v>
      </c>
      <c r="AL183" s="139">
        <v>9540</v>
      </c>
      <c r="AM183" s="139">
        <v>9540</v>
      </c>
      <c r="AN183" s="139">
        <v>9540</v>
      </c>
      <c r="AO183" s="139">
        <v>9540</v>
      </c>
      <c r="AP183" s="139">
        <v>9540</v>
      </c>
      <c r="AQ183" s="139">
        <v>9540</v>
      </c>
      <c r="AR183" s="139">
        <v>9540</v>
      </c>
      <c r="AS183" s="139">
        <v>9540</v>
      </c>
      <c r="AT183" s="139">
        <v>9705</v>
      </c>
      <c r="AU183" s="139">
        <v>9705</v>
      </c>
      <c r="AV183" s="140"/>
    </row>
    <row r="184" spans="2:48" ht="15.75" customHeight="1" x14ac:dyDescent="0.2">
      <c r="B184" s="136" t="s">
        <v>165</v>
      </c>
      <c r="C184" s="137">
        <v>0</v>
      </c>
      <c r="D184" s="138">
        <v>0</v>
      </c>
      <c r="E184" s="139">
        <v>0</v>
      </c>
      <c r="F184" s="139">
        <v>0</v>
      </c>
      <c r="G184" s="139">
        <v>0</v>
      </c>
      <c r="H184" s="139">
        <v>0</v>
      </c>
      <c r="I184" s="139">
        <v>0</v>
      </c>
      <c r="J184" s="139">
        <v>0</v>
      </c>
      <c r="K184" s="139">
        <v>0</v>
      </c>
      <c r="L184" s="139">
        <v>0</v>
      </c>
      <c r="M184" s="139">
        <v>0</v>
      </c>
      <c r="N184" s="139">
        <v>0</v>
      </c>
      <c r="O184" s="139">
        <v>0</v>
      </c>
      <c r="P184" s="139">
        <v>0</v>
      </c>
      <c r="Q184" s="139">
        <v>0</v>
      </c>
      <c r="R184" s="139">
        <v>0</v>
      </c>
      <c r="S184" s="139">
        <v>0</v>
      </c>
      <c r="T184" s="139">
        <v>0</v>
      </c>
      <c r="U184" s="139">
        <v>0</v>
      </c>
      <c r="V184" s="139">
        <v>0</v>
      </c>
      <c r="W184" s="139">
        <v>0</v>
      </c>
      <c r="X184" s="139">
        <v>0</v>
      </c>
      <c r="Y184" s="139">
        <v>0</v>
      </c>
      <c r="Z184" s="139">
        <v>0</v>
      </c>
      <c r="AA184" s="139">
        <v>0</v>
      </c>
      <c r="AB184" s="139">
        <v>0</v>
      </c>
      <c r="AC184" s="139">
        <v>0</v>
      </c>
      <c r="AD184" s="139">
        <v>0</v>
      </c>
      <c r="AE184" s="139">
        <v>0</v>
      </c>
      <c r="AF184" s="139">
        <v>0</v>
      </c>
      <c r="AG184" s="139">
        <v>0</v>
      </c>
      <c r="AH184" s="139">
        <v>31500</v>
      </c>
      <c r="AI184" s="139">
        <v>31500</v>
      </c>
      <c r="AJ184" s="139">
        <v>31500</v>
      </c>
      <c r="AK184" s="139">
        <v>31500</v>
      </c>
      <c r="AL184" s="139">
        <v>31500</v>
      </c>
      <c r="AM184" s="139">
        <v>31500</v>
      </c>
      <c r="AN184" s="139">
        <v>31500</v>
      </c>
      <c r="AO184" s="139">
        <v>31500</v>
      </c>
      <c r="AP184" s="139">
        <v>31500</v>
      </c>
      <c r="AQ184" s="139">
        <v>31500</v>
      </c>
      <c r="AR184" s="139">
        <v>31500</v>
      </c>
      <c r="AS184" s="139">
        <v>31500</v>
      </c>
      <c r="AT184" s="139">
        <v>62064</v>
      </c>
      <c r="AU184" s="139">
        <v>62064</v>
      </c>
      <c r="AV184" s="140"/>
    </row>
    <row r="185" spans="2:48" ht="15.75" customHeight="1" x14ac:dyDescent="0.2">
      <c r="B185" s="136" t="s">
        <v>166</v>
      </c>
      <c r="C185" s="137">
        <v>0</v>
      </c>
      <c r="D185" s="138">
        <v>0</v>
      </c>
      <c r="E185" s="139">
        <v>0</v>
      </c>
      <c r="F185" s="139">
        <v>0</v>
      </c>
      <c r="G185" s="139">
        <v>0</v>
      </c>
      <c r="H185" s="139">
        <v>0</v>
      </c>
      <c r="I185" s="139">
        <v>0</v>
      </c>
      <c r="J185" s="139">
        <v>0</v>
      </c>
      <c r="K185" s="139">
        <v>0</v>
      </c>
      <c r="L185" s="139">
        <v>0</v>
      </c>
      <c r="M185" s="139">
        <v>0</v>
      </c>
      <c r="N185" s="139">
        <v>0</v>
      </c>
      <c r="O185" s="139">
        <v>0</v>
      </c>
      <c r="P185" s="139">
        <v>0</v>
      </c>
      <c r="Q185" s="139">
        <v>0</v>
      </c>
      <c r="R185" s="139">
        <v>0</v>
      </c>
      <c r="S185" s="139">
        <v>0</v>
      </c>
      <c r="T185" s="139">
        <v>0</v>
      </c>
      <c r="U185" s="139">
        <v>0</v>
      </c>
      <c r="V185" s="139">
        <v>0</v>
      </c>
      <c r="W185" s="139">
        <v>0</v>
      </c>
      <c r="X185" s="139">
        <v>0</v>
      </c>
      <c r="Y185" s="139">
        <v>0</v>
      </c>
      <c r="Z185" s="139">
        <v>0</v>
      </c>
      <c r="AA185" s="139">
        <v>0</v>
      </c>
      <c r="AB185" s="139">
        <v>0</v>
      </c>
      <c r="AC185" s="139">
        <v>0</v>
      </c>
      <c r="AD185" s="139">
        <v>0</v>
      </c>
      <c r="AE185" s="139">
        <v>0</v>
      </c>
      <c r="AF185" s="139">
        <v>0</v>
      </c>
      <c r="AG185" s="139">
        <v>0</v>
      </c>
      <c r="AH185" s="139">
        <v>9600</v>
      </c>
      <c r="AI185" s="139">
        <v>9600</v>
      </c>
      <c r="AJ185" s="139">
        <v>9600</v>
      </c>
      <c r="AK185" s="139">
        <v>9600</v>
      </c>
      <c r="AL185" s="139">
        <v>9600</v>
      </c>
      <c r="AM185" s="139">
        <v>9600</v>
      </c>
      <c r="AN185" s="139">
        <v>9600</v>
      </c>
      <c r="AO185" s="139">
        <v>9600</v>
      </c>
      <c r="AP185" s="139">
        <v>9600</v>
      </c>
      <c r="AQ185" s="139">
        <v>9600</v>
      </c>
      <c r="AR185" s="139">
        <v>9600</v>
      </c>
      <c r="AS185" s="139">
        <v>9600</v>
      </c>
      <c r="AT185" s="139">
        <v>9600</v>
      </c>
      <c r="AU185" s="139">
        <v>9600</v>
      </c>
      <c r="AV185" s="140"/>
    </row>
    <row r="186" spans="2:48" ht="15.75" customHeight="1" x14ac:dyDescent="0.2">
      <c r="B186" s="136" t="s">
        <v>167</v>
      </c>
      <c r="C186" s="137">
        <v>0</v>
      </c>
      <c r="D186" s="138">
        <v>0</v>
      </c>
      <c r="E186" s="139">
        <v>0</v>
      </c>
      <c r="F186" s="139">
        <v>0</v>
      </c>
      <c r="G186" s="139">
        <v>0</v>
      </c>
      <c r="H186" s="139">
        <v>0</v>
      </c>
      <c r="I186" s="139">
        <v>0</v>
      </c>
      <c r="J186" s="139">
        <v>0</v>
      </c>
      <c r="K186" s="139">
        <v>0</v>
      </c>
      <c r="L186" s="139">
        <v>0</v>
      </c>
      <c r="M186" s="139">
        <v>0</v>
      </c>
      <c r="N186" s="139">
        <v>0</v>
      </c>
      <c r="O186" s="139">
        <v>0</v>
      </c>
      <c r="P186" s="139">
        <v>0</v>
      </c>
      <c r="Q186" s="139">
        <v>0</v>
      </c>
      <c r="R186" s="139">
        <v>0</v>
      </c>
      <c r="S186" s="139">
        <v>0</v>
      </c>
      <c r="T186" s="139">
        <v>0</v>
      </c>
      <c r="U186" s="139">
        <v>0</v>
      </c>
      <c r="V186" s="139">
        <v>0</v>
      </c>
      <c r="W186" s="139">
        <v>0</v>
      </c>
      <c r="X186" s="139">
        <v>0</v>
      </c>
      <c r="Y186" s="139">
        <v>0</v>
      </c>
      <c r="Z186" s="139">
        <v>0</v>
      </c>
      <c r="AA186" s="139">
        <v>0</v>
      </c>
      <c r="AB186" s="139">
        <v>0</v>
      </c>
      <c r="AC186" s="139">
        <v>0</v>
      </c>
      <c r="AD186" s="139">
        <v>0</v>
      </c>
      <c r="AE186" s="139">
        <v>0</v>
      </c>
      <c r="AF186" s="139">
        <v>0</v>
      </c>
      <c r="AG186" s="139">
        <v>0</v>
      </c>
      <c r="AH186" s="139">
        <v>10350</v>
      </c>
      <c r="AI186" s="139">
        <v>10350</v>
      </c>
      <c r="AJ186" s="139">
        <v>10350</v>
      </c>
      <c r="AK186" s="139">
        <v>10350</v>
      </c>
      <c r="AL186" s="139">
        <v>10350</v>
      </c>
      <c r="AM186" s="139">
        <v>10350</v>
      </c>
      <c r="AN186" s="139">
        <v>10350</v>
      </c>
      <c r="AO186" s="139">
        <v>10350</v>
      </c>
      <c r="AP186" s="139">
        <v>10350</v>
      </c>
      <c r="AQ186" s="139">
        <v>10350</v>
      </c>
      <c r="AR186" s="139">
        <v>10350</v>
      </c>
      <c r="AS186" s="139">
        <v>10350</v>
      </c>
      <c r="AT186" s="139">
        <v>0.1</v>
      </c>
      <c r="AU186" s="139">
        <v>0.1</v>
      </c>
      <c r="AV186" s="140"/>
    </row>
    <row r="187" spans="2:48" ht="15.75" customHeight="1" x14ac:dyDescent="0.2">
      <c r="B187" s="136" t="s">
        <v>168</v>
      </c>
      <c r="C187" s="137">
        <v>0</v>
      </c>
      <c r="D187" s="138">
        <v>0</v>
      </c>
      <c r="E187" s="139">
        <v>0</v>
      </c>
      <c r="F187" s="139">
        <v>0</v>
      </c>
      <c r="G187" s="139">
        <v>0</v>
      </c>
      <c r="H187" s="139">
        <v>0</v>
      </c>
      <c r="I187" s="139">
        <v>0</v>
      </c>
      <c r="J187" s="139">
        <v>0</v>
      </c>
      <c r="K187" s="139">
        <v>0</v>
      </c>
      <c r="L187" s="139">
        <v>0</v>
      </c>
      <c r="M187" s="139">
        <v>0</v>
      </c>
      <c r="N187" s="139">
        <v>0</v>
      </c>
      <c r="O187" s="139">
        <v>0</v>
      </c>
      <c r="P187" s="139">
        <v>0</v>
      </c>
      <c r="Q187" s="139">
        <v>0</v>
      </c>
      <c r="R187" s="139">
        <v>0</v>
      </c>
      <c r="S187" s="139">
        <v>0</v>
      </c>
      <c r="T187" s="139">
        <v>0</v>
      </c>
      <c r="U187" s="139">
        <v>0</v>
      </c>
      <c r="V187" s="139">
        <v>0</v>
      </c>
      <c r="W187" s="139">
        <v>0</v>
      </c>
      <c r="X187" s="139">
        <v>0</v>
      </c>
      <c r="Y187" s="139">
        <v>0</v>
      </c>
      <c r="Z187" s="139">
        <v>0</v>
      </c>
      <c r="AA187" s="139">
        <v>0</v>
      </c>
      <c r="AB187" s="139">
        <v>0</v>
      </c>
      <c r="AC187" s="139">
        <v>0</v>
      </c>
      <c r="AD187" s="139">
        <v>0</v>
      </c>
      <c r="AE187" s="139">
        <v>0</v>
      </c>
      <c r="AF187" s="139">
        <v>0</v>
      </c>
      <c r="AG187" s="139">
        <v>0</v>
      </c>
      <c r="AH187" s="139">
        <v>6005</v>
      </c>
      <c r="AI187" s="139">
        <v>6005</v>
      </c>
      <c r="AJ187" s="139">
        <v>6005</v>
      </c>
      <c r="AK187" s="139">
        <v>6005</v>
      </c>
      <c r="AL187" s="139">
        <v>6005</v>
      </c>
      <c r="AM187" s="139">
        <v>6005</v>
      </c>
      <c r="AN187" s="139">
        <v>6005</v>
      </c>
      <c r="AO187" s="139">
        <v>6005</v>
      </c>
      <c r="AP187" s="139">
        <v>6005</v>
      </c>
      <c r="AQ187" s="139">
        <v>6005</v>
      </c>
      <c r="AR187" s="139">
        <v>6005</v>
      </c>
      <c r="AS187" s="139">
        <v>6005</v>
      </c>
      <c r="AT187" s="139">
        <v>16914</v>
      </c>
      <c r="AU187" s="139">
        <v>16914</v>
      </c>
      <c r="AV187" s="140"/>
    </row>
    <row r="188" spans="2:48" ht="15.75" customHeight="1" x14ac:dyDescent="0.2">
      <c r="B188" s="136" t="s">
        <v>169</v>
      </c>
      <c r="C188" s="137">
        <v>0</v>
      </c>
      <c r="D188" s="138">
        <v>0</v>
      </c>
      <c r="E188" s="139">
        <v>0</v>
      </c>
      <c r="F188" s="139">
        <v>0</v>
      </c>
      <c r="G188" s="139">
        <v>0</v>
      </c>
      <c r="H188" s="139">
        <v>0</v>
      </c>
      <c r="I188" s="139">
        <v>0</v>
      </c>
      <c r="J188" s="139">
        <v>0</v>
      </c>
      <c r="K188" s="139">
        <v>0</v>
      </c>
      <c r="L188" s="139">
        <v>0</v>
      </c>
      <c r="M188" s="139">
        <v>0</v>
      </c>
      <c r="N188" s="139">
        <v>0</v>
      </c>
      <c r="O188" s="139">
        <v>0</v>
      </c>
      <c r="P188" s="139">
        <v>0</v>
      </c>
      <c r="Q188" s="139">
        <v>0</v>
      </c>
      <c r="R188" s="139">
        <v>0</v>
      </c>
      <c r="S188" s="139">
        <v>0</v>
      </c>
      <c r="T188" s="139">
        <v>0</v>
      </c>
      <c r="U188" s="139">
        <v>0</v>
      </c>
      <c r="V188" s="139">
        <v>0</v>
      </c>
      <c r="W188" s="139">
        <v>0</v>
      </c>
      <c r="X188" s="139">
        <v>0</v>
      </c>
      <c r="Y188" s="139">
        <v>0</v>
      </c>
      <c r="Z188" s="139">
        <v>0</v>
      </c>
      <c r="AA188" s="139">
        <v>0</v>
      </c>
      <c r="AB188" s="139">
        <v>0</v>
      </c>
      <c r="AC188" s="139">
        <v>0</v>
      </c>
      <c r="AD188" s="139">
        <v>0</v>
      </c>
      <c r="AE188" s="139">
        <v>0</v>
      </c>
      <c r="AF188" s="139">
        <v>0</v>
      </c>
      <c r="AG188" s="139">
        <v>0</v>
      </c>
      <c r="AH188" s="139">
        <v>25800</v>
      </c>
      <c r="AI188" s="139">
        <v>25800</v>
      </c>
      <c r="AJ188" s="139">
        <v>25800</v>
      </c>
      <c r="AK188" s="139">
        <v>25800</v>
      </c>
      <c r="AL188" s="139">
        <v>25800</v>
      </c>
      <c r="AM188" s="139">
        <v>25800</v>
      </c>
      <c r="AN188" s="139">
        <v>25800</v>
      </c>
      <c r="AO188" s="139">
        <v>25800</v>
      </c>
      <c r="AP188" s="139">
        <v>25800</v>
      </c>
      <c r="AQ188" s="139">
        <v>25800</v>
      </c>
      <c r="AR188" s="139">
        <v>25800</v>
      </c>
      <c r="AS188" s="139">
        <v>25800</v>
      </c>
      <c r="AT188" s="139">
        <v>0</v>
      </c>
      <c r="AU188" s="139">
        <v>0</v>
      </c>
      <c r="AV188" s="140"/>
    </row>
    <row r="189" spans="2:48" ht="15.75" customHeight="1" x14ac:dyDescent="0.2">
      <c r="B189" s="136" t="s">
        <v>170</v>
      </c>
      <c r="C189" s="137">
        <v>0</v>
      </c>
      <c r="D189" s="138">
        <v>0</v>
      </c>
      <c r="E189" s="139">
        <v>0</v>
      </c>
      <c r="F189" s="139">
        <v>0</v>
      </c>
      <c r="G189" s="139">
        <v>0</v>
      </c>
      <c r="H189" s="139">
        <v>0</v>
      </c>
      <c r="I189" s="139">
        <v>0</v>
      </c>
      <c r="J189" s="139">
        <v>0</v>
      </c>
      <c r="K189" s="139">
        <v>0</v>
      </c>
      <c r="L189" s="139">
        <v>0</v>
      </c>
      <c r="M189" s="139">
        <v>0</v>
      </c>
      <c r="N189" s="139">
        <v>0</v>
      </c>
      <c r="O189" s="139">
        <v>0</v>
      </c>
      <c r="P189" s="139">
        <v>0</v>
      </c>
      <c r="Q189" s="139">
        <v>0</v>
      </c>
      <c r="R189" s="139">
        <v>0</v>
      </c>
      <c r="S189" s="139">
        <v>0</v>
      </c>
      <c r="T189" s="139">
        <v>0</v>
      </c>
      <c r="U189" s="139">
        <v>0</v>
      </c>
      <c r="V189" s="139">
        <v>0</v>
      </c>
      <c r="W189" s="139">
        <v>0</v>
      </c>
      <c r="X189" s="139">
        <v>0</v>
      </c>
      <c r="Y189" s="139">
        <v>0</v>
      </c>
      <c r="Z189" s="139">
        <v>0</v>
      </c>
      <c r="AA189" s="139">
        <v>0</v>
      </c>
      <c r="AB189" s="139">
        <v>0</v>
      </c>
      <c r="AC189" s="139">
        <v>0</v>
      </c>
      <c r="AD189" s="139">
        <v>0</v>
      </c>
      <c r="AE189" s="139">
        <v>0</v>
      </c>
      <c r="AF189" s="139">
        <v>0</v>
      </c>
      <c r="AG189" s="139">
        <v>0</v>
      </c>
      <c r="AH189" s="139">
        <v>173880</v>
      </c>
      <c r="AI189" s="139">
        <v>173880</v>
      </c>
      <c r="AJ189" s="139">
        <v>173880</v>
      </c>
      <c r="AK189" s="139">
        <v>173880</v>
      </c>
      <c r="AL189" s="139">
        <v>173880</v>
      </c>
      <c r="AM189" s="139">
        <v>173880</v>
      </c>
      <c r="AN189" s="139">
        <v>173880</v>
      </c>
      <c r="AO189" s="139">
        <v>173880</v>
      </c>
      <c r="AP189" s="139">
        <v>173880</v>
      </c>
      <c r="AQ189" s="139">
        <v>173880</v>
      </c>
      <c r="AR189" s="139">
        <v>173880</v>
      </c>
      <c r="AS189" s="139">
        <v>173880</v>
      </c>
      <c r="AT189" s="139">
        <v>185472</v>
      </c>
      <c r="AU189" s="139">
        <v>185472</v>
      </c>
      <c r="AV189" s="140"/>
    </row>
    <row r="190" spans="2:48" ht="15.75" customHeight="1" x14ac:dyDescent="0.2">
      <c r="B190" s="136" t="s">
        <v>171</v>
      </c>
      <c r="C190" s="137">
        <v>0</v>
      </c>
      <c r="D190" s="138">
        <v>0</v>
      </c>
      <c r="E190" s="139">
        <v>0</v>
      </c>
      <c r="F190" s="139">
        <v>0</v>
      </c>
      <c r="G190" s="139">
        <v>0</v>
      </c>
      <c r="H190" s="139">
        <v>0</v>
      </c>
      <c r="I190" s="139">
        <v>0</v>
      </c>
      <c r="J190" s="139">
        <v>0</v>
      </c>
      <c r="K190" s="139">
        <v>0</v>
      </c>
      <c r="L190" s="139">
        <v>0</v>
      </c>
      <c r="M190" s="139">
        <v>0</v>
      </c>
      <c r="N190" s="139">
        <v>0</v>
      </c>
      <c r="O190" s="139">
        <v>0</v>
      </c>
      <c r="P190" s="139">
        <v>0</v>
      </c>
      <c r="Q190" s="139">
        <v>0</v>
      </c>
      <c r="R190" s="139">
        <v>0</v>
      </c>
      <c r="S190" s="139">
        <v>0</v>
      </c>
      <c r="T190" s="139">
        <v>0</v>
      </c>
      <c r="U190" s="139">
        <v>0</v>
      </c>
      <c r="V190" s="139">
        <v>0</v>
      </c>
      <c r="W190" s="139">
        <v>0</v>
      </c>
      <c r="X190" s="139">
        <v>0</v>
      </c>
      <c r="Y190" s="139">
        <v>0</v>
      </c>
      <c r="Z190" s="139">
        <v>0</v>
      </c>
      <c r="AA190" s="139">
        <v>0</v>
      </c>
      <c r="AB190" s="139">
        <v>0</v>
      </c>
      <c r="AC190" s="139">
        <v>0</v>
      </c>
      <c r="AD190" s="139">
        <v>0</v>
      </c>
      <c r="AE190" s="139">
        <v>0</v>
      </c>
      <c r="AF190" s="139">
        <v>0</v>
      </c>
      <c r="AG190" s="139">
        <v>0</v>
      </c>
      <c r="AH190" s="139">
        <v>0</v>
      </c>
      <c r="AI190" s="139">
        <v>9600</v>
      </c>
      <c r="AJ190" s="139">
        <v>9600</v>
      </c>
      <c r="AK190" s="139">
        <v>9600</v>
      </c>
      <c r="AL190" s="139">
        <v>9600</v>
      </c>
      <c r="AM190" s="139">
        <v>9600</v>
      </c>
      <c r="AN190" s="139">
        <v>9600</v>
      </c>
      <c r="AO190" s="139">
        <v>9600</v>
      </c>
      <c r="AP190" s="139">
        <v>9600</v>
      </c>
      <c r="AQ190" s="139">
        <v>9600</v>
      </c>
      <c r="AR190" s="139">
        <v>9600</v>
      </c>
      <c r="AS190" s="139">
        <v>9600</v>
      </c>
      <c r="AT190" s="139">
        <v>9600</v>
      </c>
      <c r="AU190" s="139">
        <v>0</v>
      </c>
      <c r="AV190" s="140"/>
    </row>
    <row r="191" spans="2:48" ht="15.75" customHeight="1" x14ac:dyDescent="0.2">
      <c r="B191" s="136" t="s">
        <v>172</v>
      </c>
      <c r="C191" s="137">
        <v>0</v>
      </c>
      <c r="D191" s="138">
        <v>0</v>
      </c>
      <c r="E191" s="139">
        <v>0</v>
      </c>
      <c r="F191" s="139">
        <v>0</v>
      </c>
      <c r="G191" s="139">
        <v>0</v>
      </c>
      <c r="H191" s="139">
        <v>0</v>
      </c>
      <c r="I191" s="139">
        <v>0</v>
      </c>
      <c r="J191" s="139">
        <v>0</v>
      </c>
      <c r="K191" s="139">
        <v>0</v>
      </c>
      <c r="L191" s="139">
        <v>0</v>
      </c>
      <c r="M191" s="139">
        <v>0</v>
      </c>
      <c r="N191" s="139">
        <v>0</v>
      </c>
      <c r="O191" s="139">
        <v>0</v>
      </c>
      <c r="P191" s="139">
        <v>0</v>
      </c>
      <c r="Q191" s="139">
        <v>0</v>
      </c>
      <c r="R191" s="139">
        <v>0</v>
      </c>
      <c r="S191" s="139">
        <v>0</v>
      </c>
      <c r="T191" s="139">
        <v>0</v>
      </c>
      <c r="U191" s="139">
        <v>0</v>
      </c>
      <c r="V191" s="139">
        <v>0</v>
      </c>
      <c r="W191" s="139">
        <v>0</v>
      </c>
      <c r="X191" s="139">
        <v>0</v>
      </c>
      <c r="Y191" s="139">
        <v>0</v>
      </c>
      <c r="Z191" s="139">
        <v>0</v>
      </c>
      <c r="AA191" s="139">
        <v>0</v>
      </c>
      <c r="AB191" s="139">
        <v>0</v>
      </c>
      <c r="AC191" s="139">
        <v>0</v>
      </c>
      <c r="AD191" s="139">
        <v>0</v>
      </c>
      <c r="AE191" s="139">
        <v>0</v>
      </c>
      <c r="AF191" s="139">
        <v>0</v>
      </c>
      <c r="AG191" s="139">
        <v>0</v>
      </c>
      <c r="AH191" s="139">
        <v>0</v>
      </c>
      <c r="AI191" s="139">
        <v>22500</v>
      </c>
      <c r="AJ191" s="139">
        <v>22500</v>
      </c>
      <c r="AK191" s="139">
        <v>22500</v>
      </c>
      <c r="AL191" s="139">
        <v>22500</v>
      </c>
      <c r="AM191" s="139">
        <v>22500</v>
      </c>
      <c r="AN191" s="139">
        <v>22500</v>
      </c>
      <c r="AO191" s="139">
        <v>22500</v>
      </c>
      <c r="AP191" s="139">
        <v>22500</v>
      </c>
      <c r="AQ191" s="139">
        <v>22500</v>
      </c>
      <c r="AR191" s="139">
        <v>22500</v>
      </c>
      <c r="AS191" s="139">
        <v>22500</v>
      </c>
      <c r="AT191" s="139">
        <v>22500</v>
      </c>
      <c r="AU191" s="139">
        <v>45036</v>
      </c>
      <c r="AV191" s="140"/>
    </row>
    <row r="192" spans="2:48" ht="15.75" customHeight="1" x14ac:dyDescent="0.2">
      <c r="B192" s="136" t="s">
        <v>173</v>
      </c>
      <c r="C192" s="137">
        <v>0</v>
      </c>
      <c r="D192" s="138">
        <v>0</v>
      </c>
      <c r="E192" s="139">
        <v>0</v>
      </c>
      <c r="F192" s="139">
        <v>0</v>
      </c>
      <c r="G192" s="139">
        <v>0</v>
      </c>
      <c r="H192" s="139">
        <v>0</v>
      </c>
      <c r="I192" s="139">
        <v>0</v>
      </c>
      <c r="J192" s="139">
        <v>0</v>
      </c>
      <c r="K192" s="139">
        <v>0</v>
      </c>
      <c r="L192" s="139">
        <v>0</v>
      </c>
      <c r="M192" s="139">
        <v>0</v>
      </c>
      <c r="N192" s="139">
        <v>0</v>
      </c>
      <c r="O192" s="139">
        <v>0</v>
      </c>
      <c r="P192" s="139">
        <v>0</v>
      </c>
      <c r="Q192" s="139">
        <v>0</v>
      </c>
      <c r="R192" s="139">
        <v>0</v>
      </c>
      <c r="S192" s="139">
        <v>0</v>
      </c>
      <c r="T192" s="139">
        <v>0</v>
      </c>
      <c r="U192" s="139">
        <v>0</v>
      </c>
      <c r="V192" s="139">
        <v>0</v>
      </c>
      <c r="W192" s="139">
        <v>0</v>
      </c>
      <c r="X192" s="139">
        <v>0</v>
      </c>
      <c r="Y192" s="139">
        <v>0</v>
      </c>
      <c r="Z192" s="139">
        <v>0</v>
      </c>
      <c r="AA192" s="139">
        <v>0</v>
      </c>
      <c r="AB192" s="139">
        <v>0</v>
      </c>
      <c r="AC192" s="139">
        <v>0</v>
      </c>
      <c r="AD192" s="139">
        <v>0</v>
      </c>
      <c r="AE192" s="139">
        <v>0</v>
      </c>
      <c r="AF192" s="139">
        <v>0</v>
      </c>
      <c r="AG192" s="139">
        <v>0</v>
      </c>
      <c r="AH192" s="139">
        <v>0</v>
      </c>
      <c r="AI192" s="139">
        <v>31500</v>
      </c>
      <c r="AJ192" s="139">
        <v>31500</v>
      </c>
      <c r="AK192" s="139">
        <v>31500</v>
      </c>
      <c r="AL192" s="139">
        <v>31500</v>
      </c>
      <c r="AM192" s="139">
        <v>31500</v>
      </c>
      <c r="AN192" s="139">
        <v>31500</v>
      </c>
      <c r="AO192" s="139">
        <v>31500</v>
      </c>
      <c r="AP192" s="139">
        <v>31500</v>
      </c>
      <c r="AQ192" s="139">
        <v>31500</v>
      </c>
      <c r="AR192" s="139">
        <v>31500</v>
      </c>
      <c r="AS192" s="139">
        <v>31500</v>
      </c>
      <c r="AT192" s="139">
        <v>31500</v>
      </c>
      <c r="AU192" s="139">
        <v>0.1</v>
      </c>
      <c r="AV192" s="140"/>
    </row>
    <row r="193" spans="2:48" ht="15.75" customHeight="1" x14ac:dyDescent="0.2">
      <c r="B193" s="136" t="s">
        <v>174</v>
      </c>
      <c r="C193" s="137">
        <v>0</v>
      </c>
      <c r="D193" s="138">
        <v>0</v>
      </c>
      <c r="E193" s="139">
        <v>0</v>
      </c>
      <c r="F193" s="139">
        <v>0</v>
      </c>
      <c r="G193" s="139">
        <v>0</v>
      </c>
      <c r="H193" s="139">
        <v>0</v>
      </c>
      <c r="I193" s="139">
        <v>0</v>
      </c>
      <c r="J193" s="139">
        <v>0</v>
      </c>
      <c r="K193" s="139">
        <v>0</v>
      </c>
      <c r="L193" s="139">
        <v>0</v>
      </c>
      <c r="M193" s="139">
        <v>0</v>
      </c>
      <c r="N193" s="139">
        <v>0</v>
      </c>
      <c r="O193" s="139">
        <v>0</v>
      </c>
      <c r="P193" s="139">
        <v>0</v>
      </c>
      <c r="Q193" s="139">
        <v>0</v>
      </c>
      <c r="R193" s="139">
        <v>0</v>
      </c>
      <c r="S193" s="139">
        <v>0</v>
      </c>
      <c r="T193" s="139">
        <v>0</v>
      </c>
      <c r="U193" s="139">
        <v>0</v>
      </c>
      <c r="V193" s="139">
        <v>0</v>
      </c>
      <c r="W193" s="139">
        <v>0</v>
      </c>
      <c r="X193" s="139">
        <v>0</v>
      </c>
      <c r="Y193" s="139">
        <v>0</v>
      </c>
      <c r="Z193" s="139">
        <v>0</v>
      </c>
      <c r="AA193" s="139">
        <v>0</v>
      </c>
      <c r="AB193" s="139">
        <v>0</v>
      </c>
      <c r="AC193" s="139">
        <v>0</v>
      </c>
      <c r="AD193" s="139">
        <v>0</v>
      </c>
      <c r="AE193" s="139">
        <v>0</v>
      </c>
      <c r="AF193" s="139">
        <v>0</v>
      </c>
      <c r="AG193" s="139">
        <v>0</v>
      </c>
      <c r="AH193" s="139">
        <v>0</v>
      </c>
      <c r="AI193" s="139">
        <v>33600</v>
      </c>
      <c r="AJ193" s="139">
        <v>33600</v>
      </c>
      <c r="AK193" s="139">
        <v>33600</v>
      </c>
      <c r="AL193" s="139">
        <v>33600</v>
      </c>
      <c r="AM193" s="139">
        <v>33600</v>
      </c>
      <c r="AN193" s="139">
        <v>33600</v>
      </c>
      <c r="AO193" s="139">
        <v>33600</v>
      </c>
      <c r="AP193" s="139">
        <v>33600</v>
      </c>
      <c r="AQ193" s="139">
        <v>33600</v>
      </c>
      <c r="AR193" s="139">
        <v>33600</v>
      </c>
      <c r="AS193" s="139">
        <v>33600</v>
      </c>
      <c r="AT193" s="139">
        <v>33600</v>
      </c>
      <c r="AU193" s="139">
        <v>0.1</v>
      </c>
      <c r="AV193" s="140"/>
    </row>
    <row r="194" spans="2:48" ht="15.75" customHeight="1" x14ac:dyDescent="0.2">
      <c r="B194" s="136" t="s">
        <v>175</v>
      </c>
      <c r="C194" s="137">
        <v>0</v>
      </c>
      <c r="D194" s="138">
        <v>0</v>
      </c>
      <c r="E194" s="139">
        <v>0</v>
      </c>
      <c r="F194" s="139">
        <v>0</v>
      </c>
      <c r="G194" s="139">
        <v>0</v>
      </c>
      <c r="H194" s="139">
        <v>0</v>
      </c>
      <c r="I194" s="139">
        <v>0</v>
      </c>
      <c r="J194" s="139">
        <v>0</v>
      </c>
      <c r="K194" s="139">
        <v>0</v>
      </c>
      <c r="L194" s="139">
        <v>0</v>
      </c>
      <c r="M194" s="139">
        <v>0</v>
      </c>
      <c r="N194" s="139">
        <v>0</v>
      </c>
      <c r="O194" s="139">
        <v>0</v>
      </c>
      <c r="P194" s="139">
        <v>0</v>
      </c>
      <c r="Q194" s="139">
        <v>0</v>
      </c>
      <c r="R194" s="139">
        <v>0</v>
      </c>
      <c r="S194" s="139">
        <v>0</v>
      </c>
      <c r="T194" s="139">
        <v>0</v>
      </c>
      <c r="U194" s="139">
        <v>0</v>
      </c>
      <c r="V194" s="139">
        <v>0</v>
      </c>
      <c r="W194" s="139">
        <v>0</v>
      </c>
      <c r="X194" s="139">
        <v>0</v>
      </c>
      <c r="Y194" s="139">
        <v>0</v>
      </c>
      <c r="Z194" s="139">
        <v>0</v>
      </c>
      <c r="AA194" s="139">
        <v>0</v>
      </c>
      <c r="AB194" s="139">
        <v>0</v>
      </c>
      <c r="AC194" s="139">
        <v>0</v>
      </c>
      <c r="AD194" s="139">
        <v>0</v>
      </c>
      <c r="AE194" s="139">
        <v>0</v>
      </c>
      <c r="AF194" s="139">
        <v>0</v>
      </c>
      <c r="AG194" s="139">
        <v>0</v>
      </c>
      <c r="AH194" s="139">
        <v>0</v>
      </c>
      <c r="AI194" s="139">
        <v>33600</v>
      </c>
      <c r="AJ194" s="139">
        <v>33600</v>
      </c>
      <c r="AK194" s="139">
        <v>33600</v>
      </c>
      <c r="AL194" s="139">
        <v>33600</v>
      </c>
      <c r="AM194" s="139">
        <v>33600</v>
      </c>
      <c r="AN194" s="139">
        <v>33600</v>
      </c>
      <c r="AO194" s="139">
        <v>33600</v>
      </c>
      <c r="AP194" s="139">
        <v>33600</v>
      </c>
      <c r="AQ194" s="139">
        <v>33600</v>
      </c>
      <c r="AR194" s="139">
        <v>33600</v>
      </c>
      <c r="AS194" s="139">
        <v>33600</v>
      </c>
      <c r="AT194" s="139">
        <v>33600</v>
      </c>
      <c r="AU194" s="139">
        <v>0</v>
      </c>
      <c r="AV194" s="140"/>
    </row>
    <row r="195" spans="2:48" ht="15.75" customHeight="1" x14ac:dyDescent="0.2">
      <c r="B195" s="136" t="s">
        <v>176</v>
      </c>
      <c r="C195" s="137">
        <v>0</v>
      </c>
      <c r="D195" s="138">
        <v>0</v>
      </c>
      <c r="E195" s="139">
        <v>0</v>
      </c>
      <c r="F195" s="139">
        <v>0</v>
      </c>
      <c r="G195" s="139">
        <v>0</v>
      </c>
      <c r="H195" s="139">
        <v>0</v>
      </c>
      <c r="I195" s="139">
        <v>0</v>
      </c>
      <c r="J195" s="139">
        <v>0</v>
      </c>
      <c r="K195" s="139">
        <v>0</v>
      </c>
      <c r="L195" s="139">
        <v>0</v>
      </c>
      <c r="M195" s="139">
        <v>0</v>
      </c>
      <c r="N195" s="139">
        <v>0</v>
      </c>
      <c r="O195" s="139">
        <v>0</v>
      </c>
      <c r="P195" s="139">
        <v>0</v>
      </c>
      <c r="Q195" s="139">
        <v>0</v>
      </c>
      <c r="R195" s="139">
        <v>0</v>
      </c>
      <c r="S195" s="139">
        <v>0</v>
      </c>
      <c r="T195" s="139">
        <v>0</v>
      </c>
      <c r="U195" s="139">
        <v>0</v>
      </c>
      <c r="V195" s="139">
        <v>0</v>
      </c>
      <c r="W195" s="139">
        <v>0</v>
      </c>
      <c r="X195" s="139">
        <v>0</v>
      </c>
      <c r="Y195" s="139">
        <v>0</v>
      </c>
      <c r="Z195" s="139">
        <v>0</v>
      </c>
      <c r="AA195" s="139">
        <v>0</v>
      </c>
      <c r="AB195" s="139">
        <v>0</v>
      </c>
      <c r="AC195" s="139">
        <v>0</v>
      </c>
      <c r="AD195" s="139">
        <v>0</v>
      </c>
      <c r="AE195" s="139">
        <v>0</v>
      </c>
      <c r="AF195" s="139">
        <v>0</v>
      </c>
      <c r="AG195" s="139">
        <v>0</v>
      </c>
      <c r="AH195" s="139">
        <v>0</v>
      </c>
      <c r="AI195" s="139">
        <v>16800</v>
      </c>
      <c r="AJ195" s="139">
        <v>16800</v>
      </c>
      <c r="AK195" s="139">
        <v>16800</v>
      </c>
      <c r="AL195" s="139">
        <v>16800</v>
      </c>
      <c r="AM195" s="139">
        <v>16800</v>
      </c>
      <c r="AN195" s="139">
        <v>16800</v>
      </c>
      <c r="AO195" s="139">
        <v>16800</v>
      </c>
      <c r="AP195" s="139">
        <v>16800</v>
      </c>
      <c r="AQ195" s="139">
        <v>16800</v>
      </c>
      <c r="AR195" s="139">
        <v>16800</v>
      </c>
      <c r="AS195" s="139">
        <v>16800</v>
      </c>
      <c r="AT195" s="139">
        <v>16800</v>
      </c>
      <c r="AU195" s="139">
        <v>17388</v>
      </c>
      <c r="AV195" s="140"/>
    </row>
    <row r="196" spans="2:48" ht="15.75" customHeight="1" x14ac:dyDescent="0.2">
      <c r="B196" s="136" t="s">
        <v>177</v>
      </c>
      <c r="C196" s="137">
        <v>0</v>
      </c>
      <c r="D196" s="138">
        <v>0</v>
      </c>
      <c r="E196" s="139">
        <v>0</v>
      </c>
      <c r="F196" s="139">
        <v>0</v>
      </c>
      <c r="G196" s="139">
        <v>0</v>
      </c>
      <c r="H196" s="139">
        <v>0</v>
      </c>
      <c r="I196" s="139">
        <v>0</v>
      </c>
      <c r="J196" s="139">
        <v>0</v>
      </c>
      <c r="K196" s="139">
        <v>0</v>
      </c>
      <c r="L196" s="139">
        <v>0</v>
      </c>
      <c r="M196" s="139">
        <v>0</v>
      </c>
      <c r="N196" s="139">
        <v>0</v>
      </c>
      <c r="O196" s="139">
        <v>0</v>
      </c>
      <c r="P196" s="139">
        <v>0</v>
      </c>
      <c r="Q196" s="139">
        <v>0</v>
      </c>
      <c r="R196" s="139">
        <v>0</v>
      </c>
      <c r="S196" s="139">
        <v>0</v>
      </c>
      <c r="T196" s="139">
        <v>0</v>
      </c>
      <c r="U196" s="139">
        <v>0</v>
      </c>
      <c r="V196" s="139">
        <v>0</v>
      </c>
      <c r="W196" s="139">
        <v>0</v>
      </c>
      <c r="X196" s="139">
        <v>0</v>
      </c>
      <c r="Y196" s="139">
        <v>0</v>
      </c>
      <c r="Z196" s="139">
        <v>0</v>
      </c>
      <c r="AA196" s="139">
        <v>0</v>
      </c>
      <c r="AB196" s="139">
        <v>0</v>
      </c>
      <c r="AC196" s="139">
        <v>0</v>
      </c>
      <c r="AD196" s="139">
        <v>0</v>
      </c>
      <c r="AE196" s="139">
        <v>0</v>
      </c>
      <c r="AF196" s="139">
        <v>0</v>
      </c>
      <c r="AG196" s="139">
        <v>0</v>
      </c>
      <c r="AH196" s="139">
        <v>0</v>
      </c>
      <c r="AI196" s="139">
        <v>11160</v>
      </c>
      <c r="AJ196" s="139">
        <v>11160</v>
      </c>
      <c r="AK196" s="139">
        <v>11160</v>
      </c>
      <c r="AL196" s="139">
        <v>11160</v>
      </c>
      <c r="AM196" s="139">
        <v>11160</v>
      </c>
      <c r="AN196" s="139">
        <v>11160</v>
      </c>
      <c r="AO196" s="139">
        <v>11160</v>
      </c>
      <c r="AP196" s="139">
        <v>11160</v>
      </c>
      <c r="AQ196" s="139">
        <v>11160</v>
      </c>
      <c r="AR196" s="139">
        <v>11160</v>
      </c>
      <c r="AS196" s="139">
        <v>11160</v>
      </c>
      <c r="AT196" s="139">
        <v>11160</v>
      </c>
      <c r="AU196" s="139">
        <v>11160</v>
      </c>
      <c r="AV196" s="140"/>
    </row>
    <row r="197" spans="2:48" ht="15.75" customHeight="1" x14ac:dyDescent="0.2">
      <c r="B197" s="136" t="s">
        <v>178</v>
      </c>
      <c r="C197" s="137">
        <v>0</v>
      </c>
      <c r="D197" s="138">
        <v>0</v>
      </c>
      <c r="E197" s="139">
        <v>0</v>
      </c>
      <c r="F197" s="139">
        <v>0</v>
      </c>
      <c r="G197" s="139">
        <v>0</v>
      </c>
      <c r="H197" s="139">
        <v>0</v>
      </c>
      <c r="I197" s="139">
        <v>0</v>
      </c>
      <c r="J197" s="139">
        <v>0</v>
      </c>
      <c r="K197" s="139">
        <v>0</v>
      </c>
      <c r="L197" s="139">
        <v>0</v>
      </c>
      <c r="M197" s="139">
        <v>0</v>
      </c>
      <c r="N197" s="139">
        <v>0</v>
      </c>
      <c r="O197" s="139">
        <v>0</v>
      </c>
      <c r="P197" s="139">
        <v>0</v>
      </c>
      <c r="Q197" s="139">
        <v>0</v>
      </c>
      <c r="R197" s="139">
        <v>0</v>
      </c>
      <c r="S197" s="139">
        <v>0</v>
      </c>
      <c r="T197" s="139">
        <v>0</v>
      </c>
      <c r="U197" s="139">
        <v>0</v>
      </c>
      <c r="V197" s="139">
        <v>0</v>
      </c>
      <c r="W197" s="139">
        <v>0</v>
      </c>
      <c r="X197" s="139">
        <v>0</v>
      </c>
      <c r="Y197" s="139">
        <v>0</v>
      </c>
      <c r="Z197" s="139">
        <v>0</v>
      </c>
      <c r="AA197" s="139">
        <v>0</v>
      </c>
      <c r="AB197" s="139">
        <v>0</v>
      </c>
      <c r="AC197" s="139">
        <v>0</v>
      </c>
      <c r="AD197" s="139">
        <v>0</v>
      </c>
      <c r="AE197" s="139">
        <v>0</v>
      </c>
      <c r="AF197" s="139">
        <v>0</v>
      </c>
      <c r="AG197" s="139">
        <v>0</v>
      </c>
      <c r="AH197" s="139">
        <v>0</v>
      </c>
      <c r="AI197" s="139">
        <v>10800</v>
      </c>
      <c r="AJ197" s="139">
        <v>10800</v>
      </c>
      <c r="AK197" s="139">
        <v>10800</v>
      </c>
      <c r="AL197" s="139">
        <v>10800</v>
      </c>
      <c r="AM197" s="139">
        <v>10800</v>
      </c>
      <c r="AN197" s="139">
        <v>10800</v>
      </c>
      <c r="AO197" s="139">
        <v>10800</v>
      </c>
      <c r="AP197" s="139">
        <v>10800</v>
      </c>
      <c r="AQ197" s="139">
        <v>10800</v>
      </c>
      <c r="AR197" s="139">
        <v>10800</v>
      </c>
      <c r="AS197" s="139">
        <v>10800</v>
      </c>
      <c r="AT197" s="139">
        <v>10800</v>
      </c>
      <c r="AU197" s="139">
        <v>14418</v>
      </c>
      <c r="AV197" s="140"/>
    </row>
    <row r="198" spans="2:48" ht="15.75" customHeight="1" x14ac:dyDescent="0.2">
      <c r="B198" s="136" t="s">
        <v>179</v>
      </c>
      <c r="C198" s="137">
        <v>0</v>
      </c>
      <c r="D198" s="138">
        <v>0</v>
      </c>
      <c r="E198" s="139">
        <v>0</v>
      </c>
      <c r="F198" s="139">
        <v>0</v>
      </c>
      <c r="G198" s="139">
        <v>0</v>
      </c>
      <c r="H198" s="139">
        <v>0</v>
      </c>
      <c r="I198" s="139">
        <v>0</v>
      </c>
      <c r="J198" s="139">
        <v>0</v>
      </c>
      <c r="K198" s="139">
        <v>0</v>
      </c>
      <c r="L198" s="139">
        <v>0</v>
      </c>
      <c r="M198" s="139">
        <v>0</v>
      </c>
      <c r="N198" s="139">
        <v>0</v>
      </c>
      <c r="O198" s="139">
        <v>0</v>
      </c>
      <c r="P198" s="139">
        <v>0</v>
      </c>
      <c r="Q198" s="139">
        <v>0</v>
      </c>
      <c r="R198" s="139">
        <v>0</v>
      </c>
      <c r="S198" s="139">
        <v>0</v>
      </c>
      <c r="T198" s="139">
        <v>0</v>
      </c>
      <c r="U198" s="139">
        <v>0</v>
      </c>
      <c r="V198" s="139">
        <v>0</v>
      </c>
      <c r="W198" s="139">
        <v>0</v>
      </c>
      <c r="X198" s="139">
        <v>0</v>
      </c>
      <c r="Y198" s="139">
        <v>0</v>
      </c>
      <c r="Z198" s="139">
        <v>0</v>
      </c>
      <c r="AA198" s="139">
        <v>0</v>
      </c>
      <c r="AB198" s="139">
        <v>0</v>
      </c>
      <c r="AC198" s="139">
        <v>0</v>
      </c>
      <c r="AD198" s="139">
        <v>0</v>
      </c>
      <c r="AE198" s="139">
        <v>0</v>
      </c>
      <c r="AF198" s="139">
        <v>0</v>
      </c>
      <c r="AG198" s="139">
        <v>0</v>
      </c>
      <c r="AH198" s="139">
        <v>0</v>
      </c>
      <c r="AI198" s="139">
        <v>6450</v>
      </c>
      <c r="AJ198" s="139">
        <v>6450</v>
      </c>
      <c r="AK198" s="139">
        <v>6450</v>
      </c>
      <c r="AL198" s="139">
        <v>6450</v>
      </c>
      <c r="AM198" s="139">
        <v>6450</v>
      </c>
      <c r="AN198" s="139">
        <v>6450</v>
      </c>
      <c r="AO198" s="139">
        <v>6450</v>
      </c>
      <c r="AP198" s="139">
        <v>6450</v>
      </c>
      <c r="AQ198" s="139">
        <v>6450</v>
      </c>
      <c r="AR198" s="139">
        <v>6450</v>
      </c>
      <c r="AS198" s="139">
        <v>6450</v>
      </c>
      <c r="AT198" s="139">
        <v>6450</v>
      </c>
      <c r="AU198" s="139">
        <v>0</v>
      </c>
      <c r="AV198" s="140"/>
    </row>
    <row r="199" spans="2:48" ht="15.75" customHeight="1" x14ac:dyDescent="0.2">
      <c r="B199" s="136" t="s">
        <v>180</v>
      </c>
      <c r="C199" s="137">
        <v>0</v>
      </c>
      <c r="D199" s="138">
        <v>0</v>
      </c>
      <c r="E199" s="139">
        <v>0</v>
      </c>
      <c r="F199" s="139">
        <v>0</v>
      </c>
      <c r="G199" s="139">
        <v>0</v>
      </c>
      <c r="H199" s="139">
        <v>0</v>
      </c>
      <c r="I199" s="139">
        <v>0</v>
      </c>
      <c r="J199" s="139">
        <v>0</v>
      </c>
      <c r="K199" s="139">
        <v>0</v>
      </c>
      <c r="L199" s="139">
        <v>0</v>
      </c>
      <c r="M199" s="139">
        <v>0</v>
      </c>
      <c r="N199" s="139">
        <v>0</v>
      </c>
      <c r="O199" s="139">
        <v>0</v>
      </c>
      <c r="P199" s="139">
        <v>0</v>
      </c>
      <c r="Q199" s="139">
        <v>0</v>
      </c>
      <c r="R199" s="139">
        <v>0</v>
      </c>
      <c r="S199" s="139">
        <v>0</v>
      </c>
      <c r="T199" s="139">
        <v>0</v>
      </c>
      <c r="U199" s="139">
        <v>0</v>
      </c>
      <c r="V199" s="139">
        <v>0</v>
      </c>
      <c r="W199" s="139">
        <v>0</v>
      </c>
      <c r="X199" s="139">
        <v>0</v>
      </c>
      <c r="Y199" s="139">
        <v>0</v>
      </c>
      <c r="Z199" s="139">
        <v>0</v>
      </c>
      <c r="AA199" s="139">
        <v>0</v>
      </c>
      <c r="AB199" s="139">
        <v>0</v>
      </c>
      <c r="AC199" s="139">
        <v>0</v>
      </c>
      <c r="AD199" s="139">
        <v>0</v>
      </c>
      <c r="AE199" s="139">
        <v>0</v>
      </c>
      <c r="AF199" s="139">
        <v>0</v>
      </c>
      <c r="AG199" s="139">
        <v>0</v>
      </c>
      <c r="AH199" s="139">
        <v>0</v>
      </c>
      <c r="AI199" s="139">
        <v>9600</v>
      </c>
      <c r="AJ199" s="139">
        <v>9600</v>
      </c>
      <c r="AK199" s="139">
        <v>9600</v>
      </c>
      <c r="AL199" s="139">
        <v>9600</v>
      </c>
      <c r="AM199" s="139">
        <v>9600</v>
      </c>
      <c r="AN199" s="139">
        <v>9600</v>
      </c>
      <c r="AO199" s="139">
        <v>9600</v>
      </c>
      <c r="AP199" s="139">
        <v>9600</v>
      </c>
      <c r="AQ199" s="139">
        <v>9600</v>
      </c>
      <c r="AR199" s="139">
        <v>9600</v>
      </c>
      <c r="AS199" s="139">
        <v>9600</v>
      </c>
      <c r="AT199" s="139">
        <v>9600</v>
      </c>
      <c r="AU199" s="139">
        <v>0</v>
      </c>
      <c r="AV199" s="140"/>
    </row>
    <row r="200" spans="2:48" ht="15.75" customHeight="1" x14ac:dyDescent="0.2">
      <c r="B200" s="136" t="s">
        <v>181</v>
      </c>
      <c r="C200" s="137">
        <v>0</v>
      </c>
      <c r="D200" s="138">
        <v>0</v>
      </c>
      <c r="E200" s="139">
        <v>0</v>
      </c>
      <c r="F200" s="139">
        <v>0</v>
      </c>
      <c r="G200" s="139">
        <v>0</v>
      </c>
      <c r="H200" s="139">
        <v>0</v>
      </c>
      <c r="I200" s="139">
        <v>0</v>
      </c>
      <c r="J200" s="139">
        <v>0</v>
      </c>
      <c r="K200" s="139">
        <v>0</v>
      </c>
      <c r="L200" s="139">
        <v>0</v>
      </c>
      <c r="M200" s="139">
        <v>0</v>
      </c>
      <c r="N200" s="139">
        <v>0</v>
      </c>
      <c r="O200" s="139">
        <v>0</v>
      </c>
      <c r="P200" s="139">
        <v>0</v>
      </c>
      <c r="Q200" s="139">
        <v>0</v>
      </c>
      <c r="R200" s="139">
        <v>0</v>
      </c>
      <c r="S200" s="139">
        <v>0</v>
      </c>
      <c r="T200" s="139">
        <v>0</v>
      </c>
      <c r="U200" s="139">
        <v>0</v>
      </c>
      <c r="V200" s="139">
        <v>0</v>
      </c>
      <c r="W200" s="139">
        <v>0</v>
      </c>
      <c r="X200" s="139">
        <v>0</v>
      </c>
      <c r="Y200" s="139">
        <v>0</v>
      </c>
      <c r="Z200" s="139">
        <v>0</v>
      </c>
      <c r="AA200" s="139">
        <v>0</v>
      </c>
      <c r="AB200" s="139">
        <v>0</v>
      </c>
      <c r="AC200" s="139">
        <v>0</v>
      </c>
      <c r="AD200" s="139">
        <v>0</v>
      </c>
      <c r="AE200" s="139">
        <v>0</v>
      </c>
      <c r="AF200" s="139">
        <v>0</v>
      </c>
      <c r="AG200" s="139">
        <v>0</v>
      </c>
      <c r="AH200" s="139">
        <v>0</v>
      </c>
      <c r="AI200" s="139">
        <v>16500</v>
      </c>
      <c r="AJ200" s="139">
        <v>16500</v>
      </c>
      <c r="AK200" s="139">
        <v>16500</v>
      </c>
      <c r="AL200" s="139">
        <v>16500</v>
      </c>
      <c r="AM200" s="139">
        <v>16500</v>
      </c>
      <c r="AN200" s="139">
        <v>16500</v>
      </c>
      <c r="AO200" s="139">
        <v>16500</v>
      </c>
      <c r="AP200" s="139">
        <v>16500</v>
      </c>
      <c r="AQ200" s="139">
        <v>16500</v>
      </c>
      <c r="AR200" s="139">
        <v>16500</v>
      </c>
      <c r="AS200" s="139">
        <v>16500</v>
      </c>
      <c r="AT200" s="139">
        <v>16500</v>
      </c>
      <c r="AU200" s="139">
        <v>0</v>
      </c>
      <c r="AV200" s="140"/>
    </row>
    <row r="201" spans="2:48" ht="15.75" customHeight="1" x14ac:dyDescent="0.2">
      <c r="B201" s="136" t="s">
        <v>182</v>
      </c>
      <c r="C201" s="137">
        <v>0</v>
      </c>
      <c r="D201" s="138">
        <v>0</v>
      </c>
      <c r="E201" s="139">
        <v>0</v>
      </c>
      <c r="F201" s="139">
        <v>0</v>
      </c>
      <c r="G201" s="139">
        <v>0</v>
      </c>
      <c r="H201" s="139">
        <v>0</v>
      </c>
      <c r="I201" s="139">
        <v>0</v>
      </c>
      <c r="J201" s="139">
        <v>0</v>
      </c>
      <c r="K201" s="139">
        <v>0</v>
      </c>
      <c r="L201" s="139">
        <v>0</v>
      </c>
      <c r="M201" s="139">
        <v>0</v>
      </c>
      <c r="N201" s="139">
        <v>0</v>
      </c>
      <c r="O201" s="139">
        <v>0</v>
      </c>
      <c r="P201" s="139">
        <v>0</v>
      </c>
      <c r="Q201" s="139">
        <v>0</v>
      </c>
      <c r="R201" s="139">
        <v>0</v>
      </c>
      <c r="S201" s="139">
        <v>0</v>
      </c>
      <c r="T201" s="139">
        <v>0</v>
      </c>
      <c r="U201" s="139">
        <v>0</v>
      </c>
      <c r="V201" s="139">
        <v>0</v>
      </c>
      <c r="W201" s="139">
        <v>0</v>
      </c>
      <c r="X201" s="139">
        <v>0</v>
      </c>
      <c r="Y201" s="139">
        <v>0</v>
      </c>
      <c r="Z201" s="139">
        <v>0</v>
      </c>
      <c r="AA201" s="139">
        <v>0</v>
      </c>
      <c r="AB201" s="139">
        <v>0</v>
      </c>
      <c r="AC201" s="139">
        <v>0</v>
      </c>
      <c r="AD201" s="139">
        <v>0</v>
      </c>
      <c r="AE201" s="139">
        <v>0</v>
      </c>
      <c r="AF201" s="139">
        <v>0</v>
      </c>
      <c r="AG201" s="139">
        <v>0</v>
      </c>
      <c r="AH201" s="139">
        <v>0</v>
      </c>
      <c r="AI201" s="139">
        <v>12840</v>
      </c>
      <c r="AJ201" s="139">
        <v>12840</v>
      </c>
      <c r="AK201" s="139">
        <v>12840</v>
      </c>
      <c r="AL201" s="139">
        <v>12840</v>
      </c>
      <c r="AM201" s="139">
        <v>12840</v>
      </c>
      <c r="AN201" s="139">
        <v>12840</v>
      </c>
      <c r="AO201" s="139">
        <v>12840</v>
      </c>
      <c r="AP201" s="139">
        <v>12840</v>
      </c>
      <c r="AQ201" s="139">
        <v>12840</v>
      </c>
      <c r="AR201" s="139">
        <v>12840</v>
      </c>
      <c r="AS201" s="139">
        <v>12840</v>
      </c>
      <c r="AT201" s="139">
        <v>12840</v>
      </c>
      <c r="AU201" s="139">
        <v>22380</v>
      </c>
      <c r="AV201" s="140"/>
    </row>
    <row r="202" spans="2:48" ht="15.75" customHeight="1" x14ac:dyDescent="0.2">
      <c r="B202" s="136" t="s">
        <v>183</v>
      </c>
      <c r="C202" s="137">
        <v>0</v>
      </c>
      <c r="D202" s="138">
        <v>0</v>
      </c>
      <c r="E202" s="139">
        <v>0</v>
      </c>
      <c r="F202" s="139">
        <v>0</v>
      </c>
      <c r="G202" s="139">
        <v>0</v>
      </c>
      <c r="H202" s="139">
        <v>0</v>
      </c>
      <c r="I202" s="139">
        <v>0</v>
      </c>
      <c r="J202" s="139">
        <v>0</v>
      </c>
      <c r="K202" s="139">
        <v>0</v>
      </c>
      <c r="L202" s="139">
        <v>0</v>
      </c>
      <c r="M202" s="139">
        <v>0</v>
      </c>
      <c r="N202" s="139">
        <v>0</v>
      </c>
      <c r="O202" s="139">
        <v>0</v>
      </c>
      <c r="P202" s="139">
        <v>0</v>
      </c>
      <c r="Q202" s="139">
        <v>0</v>
      </c>
      <c r="R202" s="139">
        <v>0</v>
      </c>
      <c r="S202" s="139">
        <v>0</v>
      </c>
      <c r="T202" s="139">
        <v>0</v>
      </c>
      <c r="U202" s="139">
        <v>0</v>
      </c>
      <c r="V202" s="139">
        <v>0</v>
      </c>
      <c r="W202" s="139">
        <v>0</v>
      </c>
      <c r="X202" s="139">
        <v>0</v>
      </c>
      <c r="Y202" s="139">
        <v>0</v>
      </c>
      <c r="Z202" s="139">
        <v>0</v>
      </c>
      <c r="AA202" s="139">
        <v>0</v>
      </c>
      <c r="AB202" s="139">
        <v>0</v>
      </c>
      <c r="AC202" s="139">
        <v>0</v>
      </c>
      <c r="AD202" s="139">
        <v>0</v>
      </c>
      <c r="AE202" s="139">
        <v>0</v>
      </c>
      <c r="AF202" s="139">
        <v>0</v>
      </c>
      <c r="AG202" s="139">
        <v>0</v>
      </c>
      <c r="AH202" s="139">
        <v>0</v>
      </c>
      <c r="AI202" s="139">
        <v>6765</v>
      </c>
      <c r="AJ202" s="139">
        <v>6765</v>
      </c>
      <c r="AK202" s="139">
        <v>6765</v>
      </c>
      <c r="AL202" s="139">
        <v>6765</v>
      </c>
      <c r="AM202" s="139">
        <v>6765</v>
      </c>
      <c r="AN202" s="139">
        <v>6765</v>
      </c>
      <c r="AO202" s="139">
        <v>6765</v>
      </c>
      <c r="AP202" s="139">
        <v>6765</v>
      </c>
      <c r="AQ202" s="139">
        <v>6765</v>
      </c>
      <c r="AR202" s="139">
        <v>6765</v>
      </c>
      <c r="AS202" s="139">
        <v>6765</v>
      </c>
      <c r="AT202" s="139">
        <v>6765</v>
      </c>
      <c r="AU202" s="139">
        <v>22632</v>
      </c>
      <c r="AV202" s="140"/>
    </row>
    <row r="203" spans="2:48" ht="15.75" customHeight="1" x14ac:dyDescent="0.2">
      <c r="B203" s="136" t="s">
        <v>184</v>
      </c>
      <c r="C203" s="137">
        <v>0</v>
      </c>
      <c r="D203" s="138">
        <v>0</v>
      </c>
      <c r="E203" s="139">
        <v>0</v>
      </c>
      <c r="F203" s="139">
        <v>0</v>
      </c>
      <c r="G203" s="139">
        <v>0</v>
      </c>
      <c r="H203" s="139">
        <v>0</v>
      </c>
      <c r="I203" s="139">
        <v>0</v>
      </c>
      <c r="J203" s="139">
        <v>0</v>
      </c>
      <c r="K203" s="139">
        <v>0</v>
      </c>
      <c r="L203" s="139">
        <v>0</v>
      </c>
      <c r="M203" s="139">
        <v>0</v>
      </c>
      <c r="N203" s="139">
        <v>0</v>
      </c>
      <c r="O203" s="139">
        <v>0</v>
      </c>
      <c r="P203" s="139">
        <v>0</v>
      </c>
      <c r="Q203" s="139">
        <v>0</v>
      </c>
      <c r="R203" s="139">
        <v>0</v>
      </c>
      <c r="S203" s="139">
        <v>0</v>
      </c>
      <c r="T203" s="139">
        <v>0</v>
      </c>
      <c r="U203" s="139">
        <v>0</v>
      </c>
      <c r="V203" s="139">
        <v>0</v>
      </c>
      <c r="W203" s="139">
        <v>0</v>
      </c>
      <c r="X203" s="139">
        <v>0</v>
      </c>
      <c r="Y203" s="139">
        <v>0</v>
      </c>
      <c r="Z203" s="139">
        <v>0</v>
      </c>
      <c r="AA203" s="139">
        <v>0</v>
      </c>
      <c r="AB203" s="139">
        <v>0</v>
      </c>
      <c r="AC203" s="139">
        <v>0</v>
      </c>
      <c r="AD203" s="139">
        <v>0</v>
      </c>
      <c r="AE203" s="139">
        <v>0</v>
      </c>
      <c r="AF203" s="139">
        <v>0</v>
      </c>
      <c r="AG203" s="139">
        <v>0</v>
      </c>
      <c r="AH203" s="139">
        <v>0</v>
      </c>
      <c r="AI203" s="139">
        <v>25200</v>
      </c>
      <c r="AJ203" s="139">
        <v>25200</v>
      </c>
      <c r="AK203" s="139">
        <v>25200</v>
      </c>
      <c r="AL203" s="139">
        <v>25200</v>
      </c>
      <c r="AM203" s="139">
        <v>25200</v>
      </c>
      <c r="AN203" s="139">
        <v>25200</v>
      </c>
      <c r="AO203" s="139">
        <v>25200</v>
      </c>
      <c r="AP203" s="139">
        <v>25200</v>
      </c>
      <c r="AQ203" s="139">
        <v>25200</v>
      </c>
      <c r="AR203" s="139">
        <v>25200</v>
      </c>
      <c r="AS203" s="139">
        <v>25200</v>
      </c>
      <c r="AT203" s="139">
        <v>25200</v>
      </c>
      <c r="AU203" s="139">
        <v>0</v>
      </c>
      <c r="AV203" s="140"/>
    </row>
    <row r="204" spans="2:48" ht="15.75" customHeight="1" x14ac:dyDescent="0.2">
      <c r="B204" s="136" t="s">
        <v>185</v>
      </c>
      <c r="C204" s="137">
        <v>0</v>
      </c>
      <c r="D204" s="138">
        <v>0</v>
      </c>
      <c r="E204" s="139">
        <v>0</v>
      </c>
      <c r="F204" s="139">
        <v>0</v>
      </c>
      <c r="G204" s="139">
        <v>0</v>
      </c>
      <c r="H204" s="139">
        <v>0</v>
      </c>
      <c r="I204" s="139">
        <v>0</v>
      </c>
      <c r="J204" s="139">
        <v>0</v>
      </c>
      <c r="K204" s="139">
        <v>0</v>
      </c>
      <c r="L204" s="139">
        <v>0</v>
      </c>
      <c r="M204" s="139">
        <v>0</v>
      </c>
      <c r="N204" s="139">
        <v>0</v>
      </c>
      <c r="O204" s="139">
        <v>0</v>
      </c>
      <c r="P204" s="139">
        <v>0</v>
      </c>
      <c r="Q204" s="139">
        <v>0</v>
      </c>
      <c r="R204" s="139">
        <v>0</v>
      </c>
      <c r="S204" s="139">
        <v>0</v>
      </c>
      <c r="T204" s="139">
        <v>0</v>
      </c>
      <c r="U204" s="139">
        <v>0</v>
      </c>
      <c r="V204" s="139">
        <v>0</v>
      </c>
      <c r="W204" s="139">
        <v>0</v>
      </c>
      <c r="X204" s="139">
        <v>0</v>
      </c>
      <c r="Y204" s="139">
        <v>0</v>
      </c>
      <c r="Z204" s="139">
        <v>0</v>
      </c>
      <c r="AA204" s="139">
        <v>0</v>
      </c>
      <c r="AB204" s="139">
        <v>0</v>
      </c>
      <c r="AC204" s="139">
        <v>0</v>
      </c>
      <c r="AD204" s="139">
        <v>0</v>
      </c>
      <c r="AE204" s="139">
        <v>0</v>
      </c>
      <c r="AF204" s="139">
        <v>0</v>
      </c>
      <c r="AG204" s="139">
        <v>0</v>
      </c>
      <c r="AH204" s="139">
        <v>0</v>
      </c>
      <c r="AI204" s="139">
        <v>9600</v>
      </c>
      <c r="AJ204" s="139">
        <v>9600</v>
      </c>
      <c r="AK204" s="139">
        <v>9600</v>
      </c>
      <c r="AL204" s="139">
        <v>9600</v>
      </c>
      <c r="AM204" s="139">
        <v>9600</v>
      </c>
      <c r="AN204" s="139">
        <v>9600</v>
      </c>
      <c r="AO204" s="139">
        <v>9600</v>
      </c>
      <c r="AP204" s="139">
        <v>9600</v>
      </c>
      <c r="AQ204" s="139">
        <v>9600</v>
      </c>
      <c r="AR204" s="139">
        <v>9600</v>
      </c>
      <c r="AS204" s="139">
        <v>9600</v>
      </c>
      <c r="AT204" s="139">
        <v>9600</v>
      </c>
      <c r="AU204" s="139">
        <v>0</v>
      </c>
      <c r="AV204" s="140"/>
    </row>
    <row r="205" spans="2:48" ht="15.75" customHeight="1" x14ac:dyDescent="0.2">
      <c r="B205" s="136" t="s">
        <v>186</v>
      </c>
      <c r="C205" s="137">
        <v>0</v>
      </c>
      <c r="D205" s="138">
        <v>0</v>
      </c>
      <c r="E205" s="139">
        <v>0</v>
      </c>
      <c r="F205" s="139">
        <v>0</v>
      </c>
      <c r="G205" s="139">
        <v>0</v>
      </c>
      <c r="H205" s="139">
        <v>0</v>
      </c>
      <c r="I205" s="139">
        <v>0</v>
      </c>
      <c r="J205" s="139">
        <v>0</v>
      </c>
      <c r="K205" s="139">
        <v>0</v>
      </c>
      <c r="L205" s="139">
        <v>0</v>
      </c>
      <c r="M205" s="139">
        <v>0</v>
      </c>
      <c r="N205" s="139">
        <v>0</v>
      </c>
      <c r="O205" s="139">
        <v>0</v>
      </c>
      <c r="P205" s="139">
        <v>0</v>
      </c>
      <c r="Q205" s="139">
        <v>0</v>
      </c>
      <c r="R205" s="139">
        <v>0</v>
      </c>
      <c r="S205" s="139">
        <v>0</v>
      </c>
      <c r="T205" s="139">
        <v>0</v>
      </c>
      <c r="U205" s="139">
        <v>0</v>
      </c>
      <c r="V205" s="139">
        <v>0</v>
      </c>
      <c r="W205" s="139">
        <v>0</v>
      </c>
      <c r="X205" s="139">
        <v>0</v>
      </c>
      <c r="Y205" s="139">
        <v>0</v>
      </c>
      <c r="Z205" s="139">
        <v>0</v>
      </c>
      <c r="AA205" s="139">
        <v>0</v>
      </c>
      <c r="AB205" s="139">
        <v>0</v>
      </c>
      <c r="AC205" s="139">
        <v>0</v>
      </c>
      <c r="AD205" s="139">
        <v>0</v>
      </c>
      <c r="AE205" s="139">
        <v>0</v>
      </c>
      <c r="AF205" s="139">
        <v>0</v>
      </c>
      <c r="AG205" s="139">
        <v>0</v>
      </c>
      <c r="AH205" s="139">
        <v>0</v>
      </c>
      <c r="AI205" s="139">
        <v>14400</v>
      </c>
      <c r="AJ205" s="139">
        <v>14400</v>
      </c>
      <c r="AK205" s="139">
        <v>14400</v>
      </c>
      <c r="AL205" s="139">
        <v>14400</v>
      </c>
      <c r="AM205" s="139">
        <v>14400</v>
      </c>
      <c r="AN205" s="139">
        <v>14400</v>
      </c>
      <c r="AO205" s="139">
        <v>14400</v>
      </c>
      <c r="AP205" s="139">
        <v>14400</v>
      </c>
      <c r="AQ205" s="139">
        <v>14400</v>
      </c>
      <c r="AR205" s="139">
        <v>14400</v>
      </c>
      <c r="AS205" s="139">
        <v>14400</v>
      </c>
      <c r="AT205" s="139">
        <v>14400</v>
      </c>
      <c r="AU205" s="139">
        <v>14400</v>
      </c>
      <c r="AV205" s="140"/>
    </row>
    <row r="206" spans="2:48" ht="15.75" customHeight="1" x14ac:dyDescent="0.2">
      <c r="B206" s="136" t="s">
        <v>187</v>
      </c>
      <c r="C206" s="137">
        <v>0</v>
      </c>
      <c r="D206" s="138">
        <v>0</v>
      </c>
      <c r="E206" s="139">
        <v>0</v>
      </c>
      <c r="F206" s="139">
        <v>0</v>
      </c>
      <c r="G206" s="139">
        <v>0</v>
      </c>
      <c r="H206" s="139">
        <v>0</v>
      </c>
      <c r="I206" s="139">
        <v>0</v>
      </c>
      <c r="J206" s="139">
        <v>0</v>
      </c>
      <c r="K206" s="139">
        <v>0</v>
      </c>
      <c r="L206" s="139">
        <v>0</v>
      </c>
      <c r="M206" s="139">
        <v>0</v>
      </c>
      <c r="N206" s="139">
        <v>0</v>
      </c>
      <c r="O206" s="139">
        <v>0</v>
      </c>
      <c r="P206" s="139">
        <v>0</v>
      </c>
      <c r="Q206" s="139">
        <v>0</v>
      </c>
      <c r="R206" s="139">
        <v>0</v>
      </c>
      <c r="S206" s="139">
        <v>0</v>
      </c>
      <c r="T206" s="139">
        <v>0</v>
      </c>
      <c r="U206" s="139">
        <v>0</v>
      </c>
      <c r="V206" s="139">
        <v>0</v>
      </c>
      <c r="W206" s="139">
        <v>0</v>
      </c>
      <c r="X206" s="139">
        <v>0</v>
      </c>
      <c r="Y206" s="139">
        <v>0</v>
      </c>
      <c r="Z206" s="139">
        <v>0</v>
      </c>
      <c r="AA206" s="139">
        <v>0</v>
      </c>
      <c r="AB206" s="139">
        <v>0</v>
      </c>
      <c r="AC206" s="139">
        <v>0</v>
      </c>
      <c r="AD206" s="139">
        <v>0</v>
      </c>
      <c r="AE206" s="139">
        <v>0</v>
      </c>
      <c r="AF206" s="139">
        <v>0</v>
      </c>
      <c r="AG206" s="139">
        <v>0</v>
      </c>
      <c r="AH206" s="139">
        <v>0</v>
      </c>
      <c r="AI206" s="139">
        <v>0</v>
      </c>
      <c r="AJ206" s="139">
        <v>14688</v>
      </c>
      <c r="AK206" s="139">
        <v>14688</v>
      </c>
      <c r="AL206" s="139">
        <v>14688</v>
      </c>
      <c r="AM206" s="139">
        <v>14688</v>
      </c>
      <c r="AN206" s="139">
        <v>14688</v>
      </c>
      <c r="AO206" s="139">
        <v>14688</v>
      </c>
      <c r="AP206" s="139">
        <v>14688</v>
      </c>
      <c r="AQ206" s="139">
        <v>14688</v>
      </c>
      <c r="AR206" s="139">
        <v>14688</v>
      </c>
      <c r="AS206" s="139">
        <v>14688</v>
      </c>
      <c r="AT206" s="139">
        <v>14688</v>
      </c>
      <c r="AU206" s="139">
        <v>14688</v>
      </c>
      <c r="AV206" s="140"/>
    </row>
    <row r="207" spans="2:48" ht="15.75" customHeight="1" x14ac:dyDescent="0.2">
      <c r="B207" s="136" t="s">
        <v>188</v>
      </c>
      <c r="C207" s="137">
        <v>0</v>
      </c>
      <c r="D207" s="138">
        <v>0</v>
      </c>
      <c r="E207" s="139">
        <v>0</v>
      </c>
      <c r="F207" s="139">
        <v>0</v>
      </c>
      <c r="G207" s="139">
        <v>0</v>
      </c>
      <c r="H207" s="139">
        <v>0</v>
      </c>
      <c r="I207" s="139">
        <v>0</v>
      </c>
      <c r="J207" s="139">
        <v>0</v>
      </c>
      <c r="K207" s="139">
        <v>0</v>
      </c>
      <c r="L207" s="139">
        <v>0</v>
      </c>
      <c r="M207" s="139">
        <v>0</v>
      </c>
      <c r="N207" s="139">
        <v>0</v>
      </c>
      <c r="O207" s="139">
        <v>0</v>
      </c>
      <c r="P207" s="139">
        <v>0</v>
      </c>
      <c r="Q207" s="139">
        <v>0</v>
      </c>
      <c r="R207" s="139">
        <v>0</v>
      </c>
      <c r="S207" s="139">
        <v>0</v>
      </c>
      <c r="T207" s="139">
        <v>0</v>
      </c>
      <c r="U207" s="139">
        <v>0</v>
      </c>
      <c r="V207" s="139">
        <v>0</v>
      </c>
      <c r="W207" s="139">
        <v>0</v>
      </c>
      <c r="X207" s="139">
        <v>0</v>
      </c>
      <c r="Y207" s="139">
        <v>0</v>
      </c>
      <c r="Z207" s="139">
        <v>0</v>
      </c>
      <c r="AA207" s="139">
        <v>0</v>
      </c>
      <c r="AB207" s="139">
        <v>0</v>
      </c>
      <c r="AC207" s="139">
        <v>0</v>
      </c>
      <c r="AD207" s="139">
        <v>0</v>
      </c>
      <c r="AE207" s="139">
        <v>0</v>
      </c>
      <c r="AF207" s="139">
        <v>0</v>
      </c>
      <c r="AG207" s="139">
        <v>0</v>
      </c>
      <c r="AH207" s="139">
        <v>0</v>
      </c>
      <c r="AI207" s="139">
        <v>0</v>
      </c>
      <c r="AJ207" s="139">
        <v>6048</v>
      </c>
      <c r="AK207" s="139">
        <v>6048</v>
      </c>
      <c r="AL207" s="139">
        <v>6048</v>
      </c>
      <c r="AM207" s="139">
        <v>6048</v>
      </c>
      <c r="AN207" s="139">
        <v>6048</v>
      </c>
      <c r="AO207" s="139">
        <v>6048</v>
      </c>
      <c r="AP207" s="139">
        <v>6048</v>
      </c>
      <c r="AQ207" s="139">
        <v>6048</v>
      </c>
      <c r="AR207" s="139">
        <v>6048</v>
      </c>
      <c r="AS207" s="139">
        <v>6048</v>
      </c>
      <c r="AT207" s="139">
        <v>6048</v>
      </c>
      <c r="AU207" s="139">
        <v>6048</v>
      </c>
      <c r="AV207" s="140"/>
    </row>
    <row r="208" spans="2:48" ht="15.75" customHeight="1" x14ac:dyDescent="0.2">
      <c r="B208" s="136" t="s">
        <v>189</v>
      </c>
      <c r="C208" s="137">
        <v>0</v>
      </c>
      <c r="D208" s="138">
        <v>0</v>
      </c>
      <c r="E208" s="139">
        <v>0</v>
      </c>
      <c r="F208" s="139">
        <v>0</v>
      </c>
      <c r="G208" s="139">
        <v>0</v>
      </c>
      <c r="H208" s="139">
        <v>0</v>
      </c>
      <c r="I208" s="139">
        <v>0</v>
      </c>
      <c r="J208" s="139">
        <v>0</v>
      </c>
      <c r="K208" s="139">
        <v>0</v>
      </c>
      <c r="L208" s="139">
        <v>0</v>
      </c>
      <c r="M208" s="139">
        <v>0</v>
      </c>
      <c r="N208" s="139">
        <v>0</v>
      </c>
      <c r="O208" s="139">
        <v>0</v>
      </c>
      <c r="P208" s="139">
        <v>0</v>
      </c>
      <c r="Q208" s="139">
        <v>0</v>
      </c>
      <c r="R208" s="139">
        <v>0</v>
      </c>
      <c r="S208" s="139">
        <v>0</v>
      </c>
      <c r="T208" s="139">
        <v>0</v>
      </c>
      <c r="U208" s="139">
        <v>0</v>
      </c>
      <c r="V208" s="139">
        <v>0</v>
      </c>
      <c r="W208" s="139">
        <v>0</v>
      </c>
      <c r="X208" s="139">
        <v>0</v>
      </c>
      <c r="Y208" s="139">
        <v>0</v>
      </c>
      <c r="Z208" s="139">
        <v>0</v>
      </c>
      <c r="AA208" s="139">
        <v>0</v>
      </c>
      <c r="AB208" s="139">
        <v>0</v>
      </c>
      <c r="AC208" s="139">
        <v>0</v>
      </c>
      <c r="AD208" s="139">
        <v>0</v>
      </c>
      <c r="AE208" s="139">
        <v>0</v>
      </c>
      <c r="AF208" s="139">
        <v>0</v>
      </c>
      <c r="AG208" s="139">
        <v>0</v>
      </c>
      <c r="AH208" s="139">
        <v>0</v>
      </c>
      <c r="AI208" s="139">
        <v>0</v>
      </c>
      <c r="AJ208" s="139">
        <v>18000</v>
      </c>
      <c r="AK208" s="139">
        <v>18000</v>
      </c>
      <c r="AL208" s="139">
        <v>18000</v>
      </c>
      <c r="AM208" s="139">
        <v>18000</v>
      </c>
      <c r="AN208" s="139">
        <v>18000</v>
      </c>
      <c r="AO208" s="139">
        <v>18000</v>
      </c>
      <c r="AP208" s="139">
        <v>18000</v>
      </c>
      <c r="AQ208" s="139">
        <v>18000</v>
      </c>
      <c r="AR208" s="139">
        <v>18000</v>
      </c>
      <c r="AS208" s="139">
        <v>18000</v>
      </c>
      <c r="AT208" s="139">
        <v>18000</v>
      </c>
      <c r="AU208" s="139">
        <v>18000</v>
      </c>
      <c r="AV208" s="140"/>
    </row>
    <row r="209" spans="2:48" ht="15.75" customHeight="1" x14ac:dyDescent="0.2">
      <c r="B209" s="136" t="s">
        <v>190</v>
      </c>
      <c r="C209" s="137">
        <v>0</v>
      </c>
      <c r="D209" s="138">
        <v>0</v>
      </c>
      <c r="E209" s="139">
        <v>0</v>
      </c>
      <c r="F209" s="139">
        <v>0</v>
      </c>
      <c r="G209" s="139">
        <v>0</v>
      </c>
      <c r="H209" s="139">
        <v>0</v>
      </c>
      <c r="I209" s="139">
        <v>0</v>
      </c>
      <c r="J209" s="139">
        <v>0</v>
      </c>
      <c r="K209" s="139">
        <v>0</v>
      </c>
      <c r="L209" s="139">
        <v>0</v>
      </c>
      <c r="M209" s="139">
        <v>0</v>
      </c>
      <c r="N209" s="139">
        <v>0</v>
      </c>
      <c r="O209" s="139">
        <v>0</v>
      </c>
      <c r="P209" s="139">
        <v>0</v>
      </c>
      <c r="Q209" s="139">
        <v>0</v>
      </c>
      <c r="R209" s="139">
        <v>0</v>
      </c>
      <c r="S209" s="139">
        <v>0</v>
      </c>
      <c r="T209" s="139">
        <v>0</v>
      </c>
      <c r="U209" s="139">
        <v>0</v>
      </c>
      <c r="V209" s="139">
        <v>0</v>
      </c>
      <c r="W209" s="139">
        <v>0</v>
      </c>
      <c r="X209" s="139">
        <v>0</v>
      </c>
      <c r="Y209" s="139">
        <v>0</v>
      </c>
      <c r="Z209" s="139">
        <v>0</v>
      </c>
      <c r="AA209" s="139">
        <v>0</v>
      </c>
      <c r="AB209" s="139">
        <v>0</v>
      </c>
      <c r="AC209" s="139">
        <v>0</v>
      </c>
      <c r="AD209" s="139">
        <v>0</v>
      </c>
      <c r="AE209" s="139">
        <v>0</v>
      </c>
      <c r="AF209" s="139">
        <v>0</v>
      </c>
      <c r="AG209" s="139">
        <v>0</v>
      </c>
      <c r="AH209" s="139">
        <v>0</v>
      </c>
      <c r="AI209" s="139">
        <v>0</v>
      </c>
      <c r="AJ209" s="139">
        <v>6000</v>
      </c>
      <c r="AK209" s="139">
        <v>6000</v>
      </c>
      <c r="AL209" s="139">
        <v>6000</v>
      </c>
      <c r="AM209" s="139">
        <v>6000</v>
      </c>
      <c r="AN209" s="139">
        <v>6000</v>
      </c>
      <c r="AO209" s="139">
        <v>6000</v>
      </c>
      <c r="AP209" s="139">
        <v>6000</v>
      </c>
      <c r="AQ209" s="139">
        <v>6000</v>
      </c>
      <c r="AR209" s="139">
        <v>6000</v>
      </c>
      <c r="AS209" s="139">
        <v>6000</v>
      </c>
      <c r="AT209" s="139">
        <v>6000</v>
      </c>
      <c r="AU209" s="139">
        <v>6000</v>
      </c>
      <c r="AV209" s="140"/>
    </row>
    <row r="210" spans="2:48" ht="15.75" customHeight="1" x14ac:dyDescent="0.2">
      <c r="B210" s="136" t="s">
        <v>191</v>
      </c>
      <c r="C210" s="137">
        <v>0</v>
      </c>
      <c r="D210" s="138">
        <v>0</v>
      </c>
      <c r="E210" s="139">
        <v>0</v>
      </c>
      <c r="F210" s="139">
        <v>0</v>
      </c>
      <c r="G210" s="139">
        <v>0</v>
      </c>
      <c r="H210" s="139">
        <v>0</v>
      </c>
      <c r="I210" s="139">
        <v>0</v>
      </c>
      <c r="J210" s="139">
        <v>0</v>
      </c>
      <c r="K210" s="139">
        <v>0</v>
      </c>
      <c r="L210" s="139">
        <v>0</v>
      </c>
      <c r="M210" s="139">
        <v>0</v>
      </c>
      <c r="N210" s="139">
        <v>0</v>
      </c>
      <c r="O210" s="139">
        <v>0</v>
      </c>
      <c r="P210" s="139">
        <v>0</v>
      </c>
      <c r="Q210" s="139">
        <v>0</v>
      </c>
      <c r="R210" s="139">
        <v>0</v>
      </c>
      <c r="S210" s="139">
        <v>0</v>
      </c>
      <c r="T210" s="139">
        <v>0</v>
      </c>
      <c r="U210" s="139">
        <v>0</v>
      </c>
      <c r="V210" s="139">
        <v>0</v>
      </c>
      <c r="W210" s="139">
        <v>0</v>
      </c>
      <c r="X210" s="139">
        <v>0</v>
      </c>
      <c r="Y210" s="139">
        <v>0</v>
      </c>
      <c r="Z210" s="139">
        <v>0</v>
      </c>
      <c r="AA210" s="139">
        <v>0</v>
      </c>
      <c r="AB210" s="139">
        <v>0</v>
      </c>
      <c r="AC210" s="139">
        <v>0</v>
      </c>
      <c r="AD210" s="139">
        <v>0</v>
      </c>
      <c r="AE210" s="139">
        <v>0</v>
      </c>
      <c r="AF210" s="139">
        <v>0</v>
      </c>
      <c r="AG210" s="139">
        <v>0</v>
      </c>
      <c r="AH210" s="139">
        <v>0</v>
      </c>
      <c r="AI210" s="139">
        <v>0</v>
      </c>
      <c r="AJ210" s="139">
        <v>50400</v>
      </c>
      <c r="AK210" s="139">
        <v>50400</v>
      </c>
      <c r="AL210" s="139">
        <v>50400</v>
      </c>
      <c r="AM210" s="139">
        <v>50400</v>
      </c>
      <c r="AN210" s="139">
        <v>50400</v>
      </c>
      <c r="AO210" s="139">
        <v>50400</v>
      </c>
      <c r="AP210" s="139">
        <v>50400</v>
      </c>
      <c r="AQ210" s="139">
        <v>50400</v>
      </c>
      <c r="AR210" s="139">
        <v>64800</v>
      </c>
      <c r="AS210" s="139">
        <v>64800</v>
      </c>
      <c r="AT210" s="139">
        <v>64800</v>
      </c>
      <c r="AU210" s="139">
        <v>64800</v>
      </c>
      <c r="AV210" s="140"/>
    </row>
    <row r="211" spans="2:48" ht="15.75" customHeight="1" x14ac:dyDescent="0.2">
      <c r="B211" s="136" t="s">
        <v>192</v>
      </c>
      <c r="C211" s="137">
        <v>0</v>
      </c>
      <c r="D211" s="138">
        <v>0</v>
      </c>
      <c r="E211" s="139">
        <v>0</v>
      </c>
      <c r="F211" s="139">
        <v>0</v>
      </c>
      <c r="G211" s="139">
        <v>0</v>
      </c>
      <c r="H211" s="139">
        <v>0</v>
      </c>
      <c r="I211" s="139">
        <v>0</v>
      </c>
      <c r="J211" s="139">
        <v>0</v>
      </c>
      <c r="K211" s="139">
        <v>0</v>
      </c>
      <c r="L211" s="139">
        <v>0</v>
      </c>
      <c r="M211" s="139">
        <v>0</v>
      </c>
      <c r="N211" s="139">
        <v>0</v>
      </c>
      <c r="O211" s="139">
        <v>0</v>
      </c>
      <c r="P211" s="139">
        <v>0</v>
      </c>
      <c r="Q211" s="139">
        <v>0</v>
      </c>
      <c r="R211" s="139">
        <v>0</v>
      </c>
      <c r="S211" s="139">
        <v>0</v>
      </c>
      <c r="T211" s="139">
        <v>0</v>
      </c>
      <c r="U211" s="139">
        <v>0</v>
      </c>
      <c r="V211" s="139">
        <v>0</v>
      </c>
      <c r="W211" s="139">
        <v>0</v>
      </c>
      <c r="X211" s="139">
        <v>0</v>
      </c>
      <c r="Y211" s="139">
        <v>0</v>
      </c>
      <c r="Z211" s="139">
        <v>0</v>
      </c>
      <c r="AA211" s="139">
        <v>0</v>
      </c>
      <c r="AB211" s="139">
        <v>0</v>
      </c>
      <c r="AC211" s="139">
        <v>0</v>
      </c>
      <c r="AD211" s="139">
        <v>0</v>
      </c>
      <c r="AE211" s="139">
        <v>0</v>
      </c>
      <c r="AF211" s="139">
        <v>0</v>
      </c>
      <c r="AG211" s="139">
        <v>0</v>
      </c>
      <c r="AH211" s="139">
        <v>0</v>
      </c>
      <c r="AI211" s="139">
        <v>0</v>
      </c>
      <c r="AJ211" s="139">
        <v>22950</v>
      </c>
      <c r="AK211" s="139">
        <v>22950</v>
      </c>
      <c r="AL211" s="139">
        <v>22950</v>
      </c>
      <c r="AM211" s="139">
        <v>22950</v>
      </c>
      <c r="AN211" s="139">
        <v>22950</v>
      </c>
      <c r="AO211" s="139">
        <v>22950</v>
      </c>
      <c r="AP211" s="139">
        <v>22950</v>
      </c>
      <c r="AQ211" s="139">
        <v>22950</v>
      </c>
      <c r="AR211" s="139">
        <v>22950</v>
      </c>
      <c r="AS211" s="139">
        <v>22950</v>
      </c>
      <c r="AT211" s="139">
        <v>22950</v>
      </c>
      <c r="AU211" s="139">
        <v>22950</v>
      </c>
      <c r="AV211" s="140"/>
    </row>
    <row r="212" spans="2:48" ht="15.75" customHeight="1" x14ac:dyDescent="0.2">
      <c r="B212" s="136" t="s">
        <v>193</v>
      </c>
      <c r="C212" s="137">
        <v>0</v>
      </c>
      <c r="D212" s="138">
        <v>0</v>
      </c>
      <c r="E212" s="139">
        <v>0</v>
      </c>
      <c r="F212" s="139">
        <v>0</v>
      </c>
      <c r="G212" s="139">
        <v>0</v>
      </c>
      <c r="H212" s="139">
        <v>0</v>
      </c>
      <c r="I212" s="139">
        <v>0</v>
      </c>
      <c r="J212" s="139">
        <v>0</v>
      </c>
      <c r="K212" s="139">
        <v>0</v>
      </c>
      <c r="L212" s="139">
        <v>0</v>
      </c>
      <c r="M212" s="139">
        <v>0</v>
      </c>
      <c r="N212" s="139">
        <v>0</v>
      </c>
      <c r="O212" s="139">
        <v>0</v>
      </c>
      <c r="P212" s="139">
        <v>0</v>
      </c>
      <c r="Q212" s="139">
        <v>0</v>
      </c>
      <c r="R212" s="139">
        <v>0</v>
      </c>
      <c r="S212" s="139">
        <v>0</v>
      </c>
      <c r="T212" s="139">
        <v>0</v>
      </c>
      <c r="U212" s="139">
        <v>0</v>
      </c>
      <c r="V212" s="139">
        <v>0</v>
      </c>
      <c r="W212" s="139">
        <v>0</v>
      </c>
      <c r="X212" s="139">
        <v>0</v>
      </c>
      <c r="Y212" s="139">
        <v>0</v>
      </c>
      <c r="Z212" s="139">
        <v>0</v>
      </c>
      <c r="AA212" s="139">
        <v>0</v>
      </c>
      <c r="AB212" s="139">
        <v>0</v>
      </c>
      <c r="AC212" s="139">
        <v>0</v>
      </c>
      <c r="AD212" s="139">
        <v>0</v>
      </c>
      <c r="AE212" s="139">
        <v>0</v>
      </c>
      <c r="AF212" s="139">
        <v>0</v>
      </c>
      <c r="AG212" s="139">
        <v>0</v>
      </c>
      <c r="AH212" s="139">
        <v>0</v>
      </c>
      <c r="AI212" s="139">
        <v>0</v>
      </c>
      <c r="AJ212" s="139">
        <v>9600</v>
      </c>
      <c r="AK212" s="139">
        <v>9600</v>
      </c>
      <c r="AL212" s="139">
        <v>9600</v>
      </c>
      <c r="AM212" s="139">
        <v>9600</v>
      </c>
      <c r="AN212" s="139">
        <v>9600</v>
      </c>
      <c r="AO212" s="139">
        <v>9600</v>
      </c>
      <c r="AP212" s="139">
        <v>9600</v>
      </c>
      <c r="AQ212" s="139">
        <v>9600</v>
      </c>
      <c r="AR212" s="139">
        <v>9600</v>
      </c>
      <c r="AS212" s="139">
        <v>9600</v>
      </c>
      <c r="AT212" s="139">
        <v>9600</v>
      </c>
      <c r="AU212" s="139">
        <v>9600</v>
      </c>
      <c r="AV212" s="140"/>
    </row>
    <row r="213" spans="2:48" ht="15.75" customHeight="1" x14ac:dyDescent="0.2">
      <c r="B213" s="136" t="s">
        <v>194</v>
      </c>
      <c r="C213" s="137">
        <v>0</v>
      </c>
      <c r="D213" s="138">
        <v>0</v>
      </c>
      <c r="E213" s="139">
        <v>0</v>
      </c>
      <c r="F213" s="139">
        <v>0</v>
      </c>
      <c r="G213" s="139">
        <v>0</v>
      </c>
      <c r="H213" s="139">
        <v>0</v>
      </c>
      <c r="I213" s="139">
        <v>0</v>
      </c>
      <c r="J213" s="139">
        <v>0</v>
      </c>
      <c r="K213" s="139">
        <v>0</v>
      </c>
      <c r="L213" s="139">
        <v>0</v>
      </c>
      <c r="M213" s="139">
        <v>0</v>
      </c>
      <c r="N213" s="139">
        <v>0</v>
      </c>
      <c r="O213" s="139">
        <v>0</v>
      </c>
      <c r="P213" s="139">
        <v>0</v>
      </c>
      <c r="Q213" s="139">
        <v>0</v>
      </c>
      <c r="R213" s="139">
        <v>0</v>
      </c>
      <c r="S213" s="139">
        <v>0</v>
      </c>
      <c r="T213" s="139">
        <v>0</v>
      </c>
      <c r="U213" s="139">
        <v>0</v>
      </c>
      <c r="V213" s="139">
        <v>0</v>
      </c>
      <c r="W213" s="139">
        <v>0</v>
      </c>
      <c r="X213" s="139">
        <v>0</v>
      </c>
      <c r="Y213" s="139">
        <v>0</v>
      </c>
      <c r="Z213" s="139">
        <v>0</v>
      </c>
      <c r="AA213" s="139">
        <v>0</v>
      </c>
      <c r="AB213" s="139">
        <v>0</v>
      </c>
      <c r="AC213" s="139">
        <v>0</v>
      </c>
      <c r="AD213" s="139">
        <v>0</v>
      </c>
      <c r="AE213" s="139">
        <v>0</v>
      </c>
      <c r="AF213" s="139">
        <v>0</v>
      </c>
      <c r="AG213" s="139">
        <v>0</v>
      </c>
      <c r="AH213" s="139">
        <v>0</v>
      </c>
      <c r="AI213" s="139">
        <v>0</v>
      </c>
      <c r="AJ213" s="139">
        <v>9600</v>
      </c>
      <c r="AK213" s="139">
        <v>9600</v>
      </c>
      <c r="AL213" s="139">
        <v>9600</v>
      </c>
      <c r="AM213" s="139">
        <v>9600</v>
      </c>
      <c r="AN213" s="139">
        <v>9600</v>
      </c>
      <c r="AO213" s="139">
        <v>9600</v>
      </c>
      <c r="AP213" s="139">
        <v>9600</v>
      </c>
      <c r="AQ213" s="139">
        <v>9600</v>
      </c>
      <c r="AR213" s="139">
        <v>9600</v>
      </c>
      <c r="AS213" s="139">
        <v>9600</v>
      </c>
      <c r="AT213" s="139">
        <v>9600</v>
      </c>
      <c r="AU213" s="139">
        <v>9600</v>
      </c>
      <c r="AV213" s="140"/>
    </row>
    <row r="214" spans="2:48" ht="15.75" customHeight="1" x14ac:dyDescent="0.2">
      <c r="B214" s="136" t="s">
        <v>195</v>
      </c>
      <c r="C214" s="137">
        <v>0</v>
      </c>
      <c r="D214" s="138">
        <v>0</v>
      </c>
      <c r="E214" s="139">
        <v>0</v>
      </c>
      <c r="F214" s="139">
        <v>0</v>
      </c>
      <c r="G214" s="139">
        <v>0</v>
      </c>
      <c r="H214" s="139">
        <v>0</v>
      </c>
      <c r="I214" s="139">
        <v>0</v>
      </c>
      <c r="J214" s="139">
        <v>0</v>
      </c>
      <c r="K214" s="139">
        <v>0</v>
      </c>
      <c r="L214" s="139">
        <v>0</v>
      </c>
      <c r="M214" s="139">
        <v>0</v>
      </c>
      <c r="N214" s="139">
        <v>0</v>
      </c>
      <c r="O214" s="139">
        <v>0</v>
      </c>
      <c r="P214" s="139">
        <v>0</v>
      </c>
      <c r="Q214" s="139">
        <v>0</v>
      </c>
      <c r="R214" s="139">
        <v>0</v>
      </c>
      <c r="S214" s="139">
        <v>0</v>
      </c>
      <c r="T214" s="139">
        <v>0</v>
      </c>
      <c r="U214" s="139">
        <v>0</v>
      </c>
      <c r="V214" s="139">
        <v>0</v>
      </c>
      <c r="W214" s="139">
        <v>0</v>
      </c>
      <c r="X214" s="139">
        <v>0</v>
      </c>
      <c r="Y214" s="139">
        <v>0</v>
      </c>
      <c r="Z214" s="139">
        <v>0</v>
      </c>
      <c r="AA214" s="139">
        <v>0</v>
      </c>
      <c r="AB214" s="139">
        <v>0</v>
      </c>
      <c r="AC214" s="139">
        <v>0</v>
      </c>
      <c r="AD214" s="139">
        <v>0</v>
      </c>
      <c r="AE214" s="139">
        <v>0</v>
      </c>
      <c r="AF214" s="139">
        <v>0</v>
      </c>
      <c r="AG214" s="139">
        <v>0</v>
      </c>
      <c r="AH214" s="139">
        <v>0</v>
      </c>
      <c r="AI214" s="139">
        <v>0</v>
      </c>
      <c r="AJ214" s="139">
        <v>75678</v>
      </c>
      <c r="AK214" s="139">
        <v>75678</v>
      </c>
      <c r="AL214" s="139">
        <v>75678</v>
      </c>
      <c r="AM214" s="139">
        <v>75678</v>
      </c>
      <c r="AN214" s="139">
        <v>75678</v>
      </c>
      <c r="AO214" s="139">
        <v>75678</v>
      </c>
      <c r="AP214" s="139">
        <v>75678</v>
      </c>
      <c r="AQ214" s="139">
        <v>75678</v>
      </c>
      <c r="AR214" s="139">
        <v>75678</v>
      </c>
      <c r="AS214" s="139">
        <v>75678</v>
      </c>
      <c r="AT214" s="139">
        <v>75678</v>
      </c>
      <c r="AU214" s="139">
        <v>75678</v>
      </c>
      <c r="AV214" s="140"/>
    </row>
    <row r="215" spans="2:48" ht="15.75" customHeight="1" x14ac:dyDescent="0.2">
      <c r="B215" s="136" t="s">
        <v>196</v>
      </c>
      <c r="C215" s="137">
        <v>0</v>
      </c>
      <c r="D215" s="138">
        <v>0</v>
      </c>
      <c r="E215" s="139">
        <v>0</v>
      </c>
      <c r="F215" s="139">
        <v>0</v>
      </c>
      <c r="G215" s="139">
        <v>0</v>
      </c>
      <c r="H215" s="139">
        <v>0</v>
      </c>
      <c r="I215" s="139">
        <v>0</v>
      </c>
      <c r="J215" s="139">
        <v>0</v>
      </c>
      <c r="K215" s="139">
        <v>0</v>
      </c>
      <c r="L215" s="139">
        <v>0</v>
      </c>
      <c r="M215" s="139">
        <v>0</v>
      </c>
      <c r="N215" s="139">
        <v>0</v>
      </c>
      <c r="O215" s="139">
        <v>0</v>
      </c>
      <c r="P215" s="139">
        <v>0</v>
      </c>
      <c r="Q215" s="139">
        <v>0</v>
      </c>
      <c r="R215" s="139">
        <v>0</v>
      </c>
      <c r="S215" s="139">
        <v>0</v>
      </c>
      <c r="T215" s="139">
        <v>0</v>
      </c>
      <c r="U215" s="139">
        <v>0</v>
      </c>
      <c r="V215" s="139">
        <v>0</v>
      </c>
      <c r="W215" s="139">
        <v>0</v>
      </c>
      <c r="X215" s="139">
        <v>0</v>
      </c>
      <c r="Y215" s="139">
        <v>0</v>
      </c>
      <c r="Z215" s="139">
        <v>0</v>
      </c>
      <c r="AA215" s="139">
        <v>0</v>
      </c>
      <c r="AB215" s="139">
        <v>0</v>
      </c>
      <c r="AC215" s="139">
        <v>0</v>
      </c>
      <c r="AD215" s="139">
        <v>0</v>
      </c>
      <c r="AE215" s="139">
        <v>0</v>
      </c>
      <c r="AF215" s="139">
        <v>0</v>
      </c>
      <c r="AG215" s="139">
        <v>0</v>
      </c>
      <c r="AH215" s="139">
        <v>0</v>
      </c>
      <c r="AI215" s="139">
        <v>0</v>
      </c>
      <c r="AJ215" s="139">
        <v>9972</v>
      </c>
      <c r="AK215" s="139">
        <v>9972</v>
      </c>
      <c r="AL215" s="139">
        <v>9972</v>
      </c>
      <c r="AM215" s="139">
        <v>9972</v>
      </c>
      <c r="AN215" s="139">
        <v>9972</v>
      </c>
      <c r="AO215" s="139">
        <v>9972</v>
      </c>
      <c r="AP215" s="139">
        <v>9972</v>
      </c>
      <c r="AQ215" s="139">
        <v>9972</v>
      </c>
      <c r="AR215" s="139">
        <v>9972</v>
      </c>
      <c r="AS215" s="139">
        <v>9972</v>
      </c>
      <c r="AT215" s="139">
        <v>9972</v>
      </c>
      <c r="AU215" s="139">
        <v>9972</v>
      </c>
      <c r="AV215" s="140"/>
    </row>
    <row r="216" spans="2:48" ht="15.75" customHeight="1" x14ac:dyDescent="0.2">
      <c r="B216" s="136" t="s">
        <v>197</v>
      </c>
      <c r="C216" s="137">
        <v>0</v>
      </c>
      <c r="D216" s="138">
        <v>0</v>
      </c>
      <c r="E216" s="139">
        <v>0</v>
      </c>
      <c r="F216" s="139">
        <v>0</v>
      </c>
      <c r="G216" s="139">
        <v>0</v>
      </c>
      <c r="H216" s="139">
        <v>0</v>
      </c>
      <c r="I216" s="139">
        <v>0</v>
      </c>
      <c r="J216" s="139">
        <v>0</v>
      </c>
      <c r="K216" s="139">
        <v>0</v>
      </c>
      <c r="L216" s="139">
        <v>0</v>
      </c>
      <c r="M216" s="139">
        <v>0</v>
      </c>
      <c r="N216" s="139">
        <v>0</v>
      </c>
      <c r="O216" s="139">
        <v>0</v>
      </c>
      <c r="P216" s="139">
        <v>0</v>
      </c>
      <c r="Q216" s="139">
        <v>0</v>
      </c>
      <c r="R216" s="139">
        <v>0</v>
      </c>
      <c r="S216" s="139">
        <v>0</v>
      </c>
      <c r="T216" s="139">
        <v>0</v>
      </c>
      <c r="U216" s="139">
        <v>0</v>
      </c>
      <c r="V216" s="139">
        <v>0</v>
      </c>
      <c r="W216" s="139">
        <v>0</v>
      </c>
      <c r="X216" s="139">
        <v>0</v>
      </c>
      <c r="Y216" s="139">
        <v>0</v>
      </c>
      <c r="Z216" s="139">
        <v>0</v>
      </c>
      <c r="AA216" s="139">
        <v>0</v>
      </c>
      <c r="AB216" s="139">
        <v>0</v>
      </c>
      <c r="AC216" s="139">
        <v>0</v>
      </c>
      <c r="AD216" s="139">
        <v>0</v>
      </c>
      <c r="AE216" s="139">
        <v>0</v>
      </c>
      <c r="AF216" s="139">
        <v>0</v>
      </c>
      <c r="AG216" s="139">
        <v>0</v>
      </c>
      <c r="AH216" s="139">
        <v>0</v>
      </c>
      <c r="AI216" s="139">
        <v>0</v>
      </c>
      <c r="AJ216" s="139">
        <v>9600</v>
      </c>
      <c r="AK216" s="139">
        <v>9600</v>
      </c>
      <c r="AL216" s="139">
        <v>9600</v>
      </c>
      <c r="AM216" s="139">
        <v>9600</v>
      </c>
      <c r="AN216" s="139">
        <v>9600</v>
      </c>
      <c r="AO216" s="139">
        <v>9600</v>
      </c>
      <c r="AP216" s="139">
        <v>9600</v>
      </c>
      <c r="AQ216" s="139">
        <v>9600</v>
      </c>
      <c r="AR216" s="139">
        <v>9600</v>
      </c>
      <c r="AS216" s="139">
        <v>9600</v>
      </c>
      <c r="AT216" s="139">
        <v>9600</v>
      </c>
      <c r="AU216" s="139">
        <v>9600</v>
      </c>
      <c r="AV216" s="140"/>
    </row>
    <row r="217" spans="2:48" ht="15.75" customHeight="1" x14ac:dyDescent="0.2">
      <c r="B217" s="136" t="s">
        <v>198</v>
      </c>
      <c r="C217" s="137">
        <v>0</v>
      </c>
      <c r="D217" s="138">
        <v>0</v>
      </c>
      <c r="E217" s="139">
        <v>0</v>
      </c>
      <c r="F217" s="139">
        <v>0</v>
      </c>
      <c r="G217" s="139">
        <v>0</v>
      </c>
      <c r="H217" s="139">
        <v>0</v>
      </c>
      <c r="I217" s="139">
        <v>0</v>
      </c>
      <c r="J217" s="139">
        <v>0</v>
      </c>
      <c r="K217" s="139">
        <v>0</v>
      </c>
      <c r="L217" s="139">
        <v>0</v>
      </c>
      <c r="M217" s="139">
        <v>0</v>
      </c>
      <c r="N217" s="139">
        <v>0</v>
      </c>
      <c r="O217" s="139">
        <v>0</v>
      </c>
      <c r="P217" s="139">
        <v>0</v>
      </c>
      <c r="Q217" s="139">
        <v>0</v>
      </c>
      <c r="R217" s="139">
        <v>0</v>
      </c>
      <c r="S217" s="139">
        <v>0</v>
      </c>
      <c r="T217" s="139">
        <v>0</v>
      </c>
      <c r="U217" s="139">
        <v>0</v>
      </c>
      <c r="V217" s="139">
        <v>0</v>
      </c>
      <c r="W217" s="139">
        <v>0</v>
      </c>
      <c r="X217" s="139">
        <v>0</v>
      </c>
      <c r="Y217" s="139">
        <v>0</v>
      </c>
      <c r="Z217" s="139">
        <v>0</v>
      </c>
      <c r="AA217" s="139">
        <v>0</v>
      </c>
      <c r="AB217" s="139">
        <v>0</v>
      </c>
      <c r="AC217" s="139">
        <v>0</v>
      </c>
      <c r="AD217" s="139">
        <v>0</v>
      </c>
      <c r="AE217" s="139">
        <v>0</v>
      </c>
      <c r="AF217" s="139">
        <v>0</v>
      </c>
      <c r="AG217" s="139">
        <v>0</v>
      </c>
      <c r="AH217" s="139">
        <v>0</v>
      </c>
      <c r="AI217" s="139">
        <v>0</v>
      </c>
      <c r="AJ217" s="139">
        <v>27642</v>
      </c>
      <c r="AK217" s="139">
        <v>27642</v>
      </c>
      <c r="AL217" s="139">
        <v>27642</v>
      </c>
      <c r="AM217" s="139">
        <v>27642</v>
      </c>
      <c r="AN217" s="139">
        <v>27642</v>
      </c>
      <c r="AO217" s="139">
        <v>27642</v>
      </c>
      <c r="AP217" s="139">
        <v>27642</v>
      </c>
      <c r="AQ217" s="139">
        <v>27642</v>
      </c>
      <c r="AR217" s="139">
        <v>27642</v>
      </c>
      <c r="AS217" s="139">
        <v>27642</v>
      </c>
      <c r="AT217" s="139">
        <v>27642</v>
      </c>
      <c r="AU217" s="139">
        <v>27642</v>
      </c>
      <c r="AV217" s="140"/>
    </row>
    <row r="218" spans="2:48" ht="15.75" customHeight="1" x14ac:dyDescent="0.2">
      <c r="B218" s="136" t="s">
        <v>199</v>
      </c>
      <c r="C218" s="137">
        <v>0</v>
      </c>
      <c r="D218" s="138">
        <v>0</v>
      </c>
      <c r="E218" s="139">
        <v>0</v>
      </c>
      <c r="F218" s="139">
        <v>0</v>
      </c>
      <c r="G218" s="139">
        <v>0</v>
      </c>
      <c r="H218" s="139">
        <v>0</v>
      </c>
      <c r="I218" s="139">
        <v>0</v>
      </c>
      <c r="J218" s="139">
        <v>0</v>
      </c>
      <c r="K218" s="139">
        <v>0</v>
      </c>
      <c r="L218" s="139">
        <v>0</v>
      </c>
      <c r="M218" s="139">
        <v>0</v>
      </c>
      <c r="N218" s="139">
        <v>0</v>
      </c>
      <c r="O218" s="139">
        <v>0</v>
      </c>
      <c r="P218" s="139">
        <v>0</v>
      </c>
      <c r="Q218" s="139">
        <v>0</v>
      </c>
      <c r="R218" s="139">
        <v>0</v>
      </c>
      <c r="S218" s="139">
        <v>0</v>
      </c>
      <c r="T218" s="139">
        <v>0</v>
      </c>
      <c r="U218" s="139">
        <v>0</v>
      </c>
      <c r="V218" s="139">
        <v>0</v>
      </c>
      <c r="W218" s="139">
        <v>0</v>
      </c>
      <c r="X218" s="139">
        <v>0</v>
      </c>
      <c r="Y218" s="139">
        <v>0</v>
      </c>
      <c r="Z218" s="139">
        <v>0</v>
      </c>
      <c r="AA218" s="139">
        <v>0</v>
      </c>
      <c r="AB218" s="139">
        <v>0</v>
      </c>
      <c r="AC218" s="139">
        <v>0</v>
      </c>
      <c r="AD218" s="139">
        <v>0</v>
      </c>
      <c r="AE218" s="139">
        <v>0</v>
      </c>
      <c r="AF218" s="139">
        <v>0</v>
      </c>
      <c r="AG218" s="139">
        <v>0</v>
      </c>
      <c r="AH218" s="139">
        <v>0</v>
      </c>
      <c r="AI218" s="139">
        <v>0</v>
      </c>
      <c r="AJ218" s="139">
        <v>40200</v>
      </c>
      <c r="AK218" s="139">
        <v>40200</v>
      </c>
      <c r="AL218" s="139">
        <v>40200</v>
      </c>
      <c r="AM218" s="139">
        <v>40200</v>
      </c>
      <c r="AN218" s="139">
        <v>40200</v>
      </c>
      <c r="AO218" s="139">
        <v>40200</v>
      </c>
      <c r="AP218" s="139">
        <v>40200</v>
      </c>
      <c r="AQ218" s="139">
        <v>40200</v>
      </c>
      <c r="AR218" s="139">
        <v>40200</v>
      </c>
      <c r="AS218" s="139">
        <v>40200</v>
      </c>
      <c r="AT218" s="139">
        <v>40200</v>
      </c>
      <c r="AU218" s="139">
        <v>40200</v>
      </c>
      <c r="AV218" s="140"/>
    </row>
    <row r="219" spans="2:48" ht="15.75" customHeight="1" x14ac:dyDescent="0.2">
      <c r="B219" s="136" t="s">
        <v>200</v>
      </c>
      <c r="C219" s="137">
        <v>0</v>
      </c>
      <c r="D219" s="138">
        <v>0</v>
      </c>
      <c r="E219" s="139">
        <v>0</v>
      </c>
      <c r="F219" s="139">
        <v>0</v>
      </c>
      <c r="G219" s="139">
        <v>0</v>
      </c>
      <c r="H219" s="139">
        <v>0</v>
      </c>
      <c r="I219" s="139">
        <v>0</v>
      </c>
      <c r="J219" s="139">
        <v>0</v>
      </c>
      <c r="K219" s="139">
        <v>0</v>
      </c>
      <c r="L219" s="139">
        <v>0</v>
      </c>
      <c r="M219" s="139">
        <v>0</v>
      </c>
      <c r="N219" s="139">
        <v>0</v>
      </c>
      <c r="O219" s="139">
        <v>0</v>
      </c>
      <c r="P219" s="139">
        <v>0</v>
      </c>
      <c r="Q219" s="139">
        <v>0</v>
      </c>
      <c r="R219" s="139">
        <v>0</v>
      </c>
      <c r="S219" s="139">
        <v>0</v>
      </c>
      <c r="T219" s="139">
        <v>0</v>
      </c>
      <c r="U219" s="139">
        <v>0</v>
      </c>
      <c r="V219" s="139">
        <v>0</v>
      </c>
      <c r="W219" s="139">
        <v>0</v>
      </c>
      <c r="X219" s="139">
        <v>0</v>
      </c>
      <c r="Y219" s="139">
        <v>0</v>
      </c>
      <c r="Z219" s="139">
        <v>0</v>
      </c>
      <c r="AA219" s="139">
        <v>0</v>
      </c>
      <c r="AB219" s="139">
        <v>0</v>
      </c>
      <c r="AC219" s="139">
        <v>0</v>
      </c>
      <c r="AD219" s="139">
        <v>0</v>
      </c>
      <c r="AE219" s="139">
        <v>0</v>
      </c>
      <c r="AF219" s="139">
        <v>0</v>
      </c>
      <c r="AG219" s="139">
        <v>0</v>
      </c>
      <c r="AH219" s="139">
        <v>0</v>
      </c>
      <c r="AI219" s="139">
        <v>0</v>
      </c>
      <c r="AJ219" s="139">
        <v>6000</v>
      </c>
      <c r="AK219" s="139">
        <v>6000</v>
      </c>
      <c r="AL219" s="139">
        <v>6000</v>
      </c>
      <c r="AM219" s="139">
        <v>6000</v>
      </c>
      <c r="AN219" s="139">
        <v>6000</v>
      </c>
      <c r="AO219" s="139">
        <v>6000</v>
      </c>
      <c r="AP219" s="139">
        <v>6000</v>
      </c>
      <c r="AQ219" s="139">
        <v>6000</v>
      </c>
      <c r="AR219" s="139">
        <v>6000</v>
      </c>
      <c r="AS219" s="139">
        <v>6000</v>
      </c>
      <c r="AT219" s="139">
        <v>6000</v>
      </c>
      <c r="AU219" s="139">
        <v>6000</v>
      </c>
      <c r="AV219" s="140"/>
    </row>
    <row r="220" spans="2:48" ht="15.75" customHeight="1" x14ac:dyDescent="0.2">
      <c r="B220" s="136" t="s">
        <v>201</v>
      </c>
      <c r="C220" s="137">
        <v>0</v>
      </c>
      <c r="D220" s="138">
        <v>0</v>
      </c>
      <c r="E220" s="139">
        <v>0</v>
      </c>
      <c r="F220" s="139">
        <v>0</v>
      </c>
      <c r="G220" s="139">
        <v>0</v>
      </c>
      <c r="H220" s="139">
        <v>0</v>
      </c>
      <c r="I220" s="139">
        <v>0</v>
      </c>
      <c r="J220" s="139">
        <v>0</v>
      </c>
      <c r="K220" s="139">
        <v>0</v>
      </c>
      <c r="L220" s="139">
        <v>0</v>
      </c>
      <c r="M220" s="139">
        <v>0</v>
      </c>
      <c r="N220" s="139">
        <v>0</v>
      </c>
      <c r="O220" s="139">
        <v>0</v>
      </c>
      <c r="P220" s="139">
        <v>0</v>
      </c>
      <c r="Q220" s="139">
        <v>0</v>
      </c>
      <c r="R220" s="139">
        <v>0</v>
      </c>
      <c r="S220" s="139">
        <v>0</v>
      </c>
      <c r="T220" s="139">
        <v>0</v>
      </c>
      <c r="U220" s="139">
        <v>0</v>
      </c>
      <c r="V220" s="139">
        <v>0</v>
      </c>
      <c r="W220" s="139">
        <v>0</v>
      </c>
      <c r="X220" s="139">
        <v>0</v>
      </c>
      <c r="Y220" s="139">
        <v>0</v>
      </c>
      <c r="Z220" s="139">
        <v>0</v>
      </c>
      <c r="AA220" s="139">
        <v>0</v>
      </c>
      <c r="AB220" s="139">
        <v>0</v>
      </c>
      <c r="AC220" s="139">
        <v>0</v>
      </c>
      <c r="AD220" s="139">
        <v>0</v>
      </c>
      <c r="AE220" s="139">
        <v>0</v>
      </c>
      <c r="AF220" s="139">
        <v>0</v>
      </c>
      <c r="AG220" s="139">
        <v>0</v>
      </c>
      <c r="AH220" s="139">
        <v>0</v>
      </c>
      <c r="AI220" s="139">
        <v>0</v>
      </c>
      <c r="AJ220" s="139">
        <v>9600</v>
      </c>
      <c r="AK220" s="139">
        <v>9600</v>
      </c>
      <c r="AL220" s="139">
        <v>9600</v>
      </c>
      <c r="AM220" s="139">
        <v>9600</v>
      </c>
      <c r="AN220" s="139">
        <v>9600</v>
      </c>
      <c r="AO220" s="139">
        <v>9600</v>
      </c>
      <c r="AP220" s="139">
        <v>9600</v>
      </c>
      <c r="AQ220" s="139">
        <v>9600</v>
      </c>
      <c r="AR220" s="139">
        <v>9600</v>
      </c>
      <c r="AS220" s="139">
        <v>9600</v>
      </c>
      <c r="AT220" s="139">
        <v>9600</v>
      </c>
      <c r="AU220" s="139">
        <v>9600</v>
      </c>
      <c r="AV220" s="140"/>
    </row>
    <row r="221" spans="2:48" ht="15.75" customHeight="1" x14ac:dyDescent="0.2">
      <c r="B221" s="136" t="s">
        <v>202</v>
      </c>
      <c r="C221" s="137">
        <v>0</v>
      </c>
      <c r="D221" s="138">
        <v>0</v>
      </c>
      <c r="E221" s="139">
        <v>0</v>
      </c>
      <c r="F221" s="139">
        <v>0</v>
      </c>
      <c r="G221" s="139">
        <v>0</v>
      </c>
      <c r="H221" s="139">
        <v>0</v>
      </c>
      <c r="I221" s="139">
        <v>0</v>
      </c>
      <c r="J221" s="139">
        <v>0</v>
      </c>
      <c r="K221" s="139">
        <v>0</v>
      </c>
      <c r="L221" s="139">
        <v>0</v>
      </c>
      <c r="M221" s="139">
        <v>0</v>
      </c>
      <c r="N221" s="139">
        <v>0</v>
      </c>
      <c r="O221" s="139">
        <v>0</v>
      </c>
      <c r="P221" s="139">
        <v>0</v>
      </c>
      <c r="Q221" s="139">
        <v>0</v>
      </c>
      <c r="R221" s="139">
        <v>0</v>
      </c>
      <c r="S221" s="139">
        <v>0</v>
      </c>
      <c r="T221" s="139">
        <v>0</v>
      </c>
      <c r="U221" s="139">
        <v>0</v>
      </c>
      <c r="V221" s="139">
        <v>0</v>
      </c>
      <c r="W221" s="139">
        <v>0</v>
      </c>
      <c r="X221" s="139">
        <v>0</v>
      </c>
      <c r="Y221" s="139">
        <v>0</v>
      </c>
      <c r="Z221" s="139">
        <v>0</v>
      </c>
      <c r="AA221" s="139">
        <v>0</v>
      </c>
      <c r="AB221" s="139">
        <v>0</v>
      </c>
      <c r="AC221" s="139">
        <v>0</v>
      </c>
      <c r="AD221" s="139">
        <v>0</v>
      </c>
      <c r="AE221" s="139">
        <v>0</v>
      </c>
      <c r="AF221" s="139">
        <v>0</v>
      </c>
      <c r="AG221" s="139">
        <v>0</v>
      </c>
      <c r="AH221" s="139">
        <v>0</v>
      </c>
      <c r="AI221" s="139">
        <v>0</v>
      </c>
      <c r="AJ221" s="139">
        <v>10800</v>
      </c>
      <c r="AK221" s="139">
        <v>10800</v>
      </c>
      <c r="AL221" s="139">
        <v>10800</v>
      </c>
      <c r="AM221" s="139">
        <v>10800</v>
      </c>
      <c r="AN221" s="139">
        <v>10800</v>
      </c>
      <c r="AO221" s="139">
        <v>10800</v>
      </c>
      <c r="AP221" s="139">
        <v>10800</v>
      </c>
      <c r="AQ221" s="139">
        <v>10800</v>
      </c>
      <c r="AR221" s="139">
        <v>10800</v>
      </c>
      <c r="AS221" s="139">
        <v>10800</v>
      </c>
      <c r="AT221" s="139">
        <v>10800</v>
      </c>
      <c r="AU221" s="139">
        <v>10800</v>
      </c>
      <c r="AV221" s="140"/>
    </row>
    <row r="222" spans="2:48" ht="15.75" customHeight="1" x14ac:dyDescent="0.2">
      <c r="B222" s="136" t="s">
        <v>203</v>
      </c>
      <c r="C222" s="137">
        <v>0</v>
      </c>
      <c r="D222" s="138">
        <v>0</v>
      </c>
      <c r="E222" s="139">
        <v>0</v>
      </c>
      <c r="F222" s="139">
        <v>0</v>
      </c>
      <c r="G222" s="139">
        <v>0</v>
      </c>
      <c r="H222" s="139">
        <v>0</v>
      </c>
      <c r="I222" s="139">
        <v>0</v>
      </c>
      <c r="J222" s="139">
        <v>0</v>
      </c>
      <c r="K222" s="139">
        <v>0</v>
      </c>
      <c r="L222" s="139">
        <v>0</v>
      </c>
      <c r="M222" s="139">
        <v>0</v>
      </c>
      <c r="N222" s="139">
        <v>0</v>
      </c>
      <c r="O222" s="139">
        <v>0</v>
      </c>
      <c r="P222" s="139">
        <v>0</v>
      </c>
      <c r="Q222" s="139">
        <v>0</v>
      </c>
      <c r="R222" s="139">
        <v>0</v>
      </c>
      <c r="S222" s="139">
        <v>0</v>
      </c>
      <c r="T222" s="139">
        <v>0</v>
      </c>
      <c r="U222" s="139">
        <v>0</v>
      </c>
      <c r="V222" s="139">
        <v>0</v>
      </c>
      <c r="W222" s="139">
        <v>0</v>
      </c>
      <c r="X222" s="139">
        <v>0</v>
      </c>
      <c r="Y222" s="139">
        <v>0</v>
      </c>
      <c r="Z222" s="139">
        <v>0</v>
      </c>
      <c r="AA222" s="139">
        <v>0</v>
      </c>
      <c r="AB222" s="139">
        <v>0</v>
      </c>
      <c r="AC222" s="139">
        <v>0</v>
      </c>
      <c r="AD222" s="139">
        <v>0</v>
      </c>
      <c r="AE222" s="139">
        <v>0</v>
      </c>
      <c r="AF222" s="139">
        <v>0</v>
      </c>
      <c r="AG222" s="139">
        <v>0</v>
      </c>
      <c r="AH222" s="139">
        <v>0</v>
      </c>
      <c r="AI222" s="139">
        <v>0</v>
      </c>
      <c r="AJ222" s="139">
        <v>14846</v>
      </c>
      <c r="AK222" s="139">
        <v>14846</v>
      </c>
      <c r="AL222" s="139">
        <v>14846</v>
      </c>
      <c r="AM222" s="139">
        <v>14846</v>
      </c>
      <c r="AN222" s="139">
        <v>14846</v>
      </c>
      <c r="AO222" s="139">
        <v>14846</v>
      </c>
      <c r="AP222" s="139">
        <v>14846</v>
      </c>
      <c r="AQ222" s="139">
        <v>14846</v>
      </c>
      <c r="AR222" s="139">
        <v>14846</v>
      </c>
      <c r="AS222" s="139">
        <v>14846</v>
      </c>
      <c r="AT222" s="139">
        <v>14846</v>
      </c>
      <c r="AU222" s="139">
        <v>14846</v>
      </c>
      <c r="AV222" s="140"/>
    </row>
    <row r="223" spans="2:48" ht="15.75" customHeight="1" x14ac:dyDescent="0.2">
      <c r="B223" s="136" t="s">
        <v>204</v>
      </c>
      <c r="C223" s="137">
        <v>0</v>
      </c>
      <c r="D223" s="138">
        <v>0</v>
      </c>
      <c r="E223" s="139">
        <v>0</v>
      </c>
      <c r="F223" s="139">
        <v>0</v>
      </c>
      <c r="G223" s="139">
        <v>0</v>
      </c>
      <c r="H223" s="139">
        <v>0</v>
      </c>
      <c r="I223" s="139">
        <v>0</v>
      </c>
      <c r="J223" s="139">
        <v>0</v>
      </c>
      <c r="K223" s="139">
        <v>0</v>
      </c>
      <c r="L223" s="139">
        <v>0</v>
      </c>
      <c r="M223" s="139">
        <v>0</v>
      </c>
      <c r="N223" s="139">
        <v>0</v>
      </c>
      <c r="O223" s="139">
        <v>0</v>
      </c>
      <c r="P223" s="139">
        <v>0</v>
      </c>
      <c r="Q223" s="139">
        <v>0</v>
      </c>
      <c r="R223" s="139">
        <v>0</v>
      </c>
      <c r="S223" s="139">
        <v>0</v>
      </c>
      <c r="T223" s="139">
        <v>0</v>
      </c>
      <c r="U223" s="139">
        <v>0</v>
      </c>
      <c r="V223" s="139">
        <v>0</v>
      </c>
      <c r="W223" s="139">
        <v>0</v>
      </c>
      <c r="X223" s="139">
        <v>0</v>
      </c>
      <c r="Y223" s="139">
        <v>0</v>
      </c>
      <c r="Z223" s="139">
        <v>0</v>
      </c>
      <c r="AA223" s="139">
        <v>0</v>
      </c>
      <c r="AB223" s="139">
        <v>0</v>
      </c>
      <c r="AC223" s="139">
        <v>0</v>
      </c>
      <c r="AD223" s="139">
        <v>0</v>
      </c>
      <c r="AE223" s="139">
        <v>0</v>
      </c>
      <c r="AF223" s="139">
        <v>0</v>
      </c>
      <c r="AG223" s="139">
        <v>0</v>
      </c>
      <c r="AH223" s="139">
        <v>0</v>
      </c>
      <c r="AI223" s="139">
        <v>0</v>
      </c>
      <c r="AJ223" s="139">
        <v>9600</v>
      </c>
      <c r="AK223" s="139">
        <v>9600</v>
      </c>
      <c r="AL223" s="139">
        <v>9600</v>
      </c>
      <c r="AM223" s="139">
        <v>9600</v>
      </c>
      <c r="AN223" s="139">
        <v>9600</v>
      </c>
      <c r="AO223" s="139">
        <v>9600</v>
      </c>
      <c r="AP223" s="139">
        <v>9600</v>
      </c>
      <c r="AQ223" s="139">
        <v>9600</v>
      </c>
      <c r="AR223" s="139">
        <v>9600</v>
      </c>
      <c r="AS223" s="139">
        <v>9600</v>
      </c>
      <c r="AT223" s="139">
        <v>9600</v>
      </c>
      <c r="AU223" s="139">
        <v>9600</v>
      </c>
      <c r="AV223" s="140"/>
    </row>
    <row r="224" spans="2:48" ht="15.75" customHeight="1" x14ac:dyDescent="0.2">
      <c r="B224" s="136" t="s">
        <v>205</v>
      </c>
      <c r="C224" s="137">
        <v>0</v>
      </c>
      <c r="D224" s="138">
        <v>0</v>
      </c>
      <c r="E224" s="139">
        <v>0</v>
      </c>
      <c r="F224" s="139">
        <v>0</v>
      </c>
      <c r="G224" s="139">
        <v>0</v>
      </c>
      <c r="H224" s="139">
        <v>0</v>
      </c>
      <c r="I224" s="139">
        <v>0</v>
      </c>
      <c r="J224" s="139">
        <v>0</v>
      </c>
      <c r="K224" s="139">
        <v>0</v>
      </c>
      <c r="L224" s="139">
        <v>0</v>
      </c>
      <c r="M224" s="139">
        <v>0</v>
      </c>
      <c r="N224" s="139">
        <v>0</v>
      </c>
      <c r="O224" s="139">
        <v>0</v>
      </c>
      <c r="P224" s="139">
        <v>0</v>
      </c>
      <c r="Q224" s="139">
        <v>0</v>
      </c>
      <c r="R224" s="139">
        <v>0</v>
      </c>
      <c r="S224" s="139">
        <v>0</v>
      </c>
      <c r="T224" s="139">
        <v>0</v>
      </c>
      <c r="U224" s="139">
        <v>0</v>
      </c>
      <c r="V224" s="139">
        <v>0</v>
      </c>
      <c r="W224" s="139">
        <v>0</v>
      </c>
      <c r="X224" s="139">
        <v>0</v>
      </c>
      <c r="Y224" s="139">
        <v>0</v>
      </c>
      <c r="Z224" s="139">
        <v>0</v>
      </c>
      <c r="AA224" s="139">
        <v>0</v>
      </c>
      <c r="AB224" s="139">
        <v>0</v>
      </c>
      <c r="AC224" s="139">
        <v>0</v>
      </c>
      <c r="AD224" s="139">
        <v>0</v>
      </c>
      <c r="AE224" s="139">
        <v>0</v>
      </c>
      <c r="AF224" s="139">
        <v>0</v>
      </c>
      <c r="AG224" s="139">
        <v>0</v>
      </c>
      <c r="AH224" s="139">
        <v>0</v>
      </c>
      <c r="AI224" s="139">
        <v>0</v>
      </c>
      <c r="AJ224" s="139">
        <v>54000</v>
      </c>
      <c r="AK224" s="139">
        <v>54000</v>
      </c>
      <c r="AL224" s="139">
        <v>54000</v>
      </c>
      <c r="AM224" s="139">
        <v>54000</v>
      </c>
      <c r="AN224" s="139">
        <v>54000</v>
      </c>
      <c r="AO224" s="139">
        <v>54000</v>
      </c>
      <c r="AP224" s="139">
        <v>54000</v>
      </c>
      <c r="AQ224" s="139">
        <v>54000</v>
      </c>
      <c r="AR224" s="139">
        <v>54000</v>
      </c>
      <c r="AS224" s="139">
        <v>54000</v>
      </c>
      <c r="AT224" s="139">
        <v>54000</v>
      </c>
      <c r="AU224" s="139">
        <v>54000</v>
      </c>
      <c r="AV224" s="140"/>
    </row>
    <row r="225" spans="2:48" ht="15.75" customHeight="1" x14ac:dyDescent="0.2">
      <c r="B225" s="136" t="s">
        <v>206</v>
      </c>
      <c r="C225" s="137">
        <v>0</v>
      </c>
      <c r="D225" s="138">
        <v>0</v>
      </c>
      <c r="E225" s="139">
        <v>0</v>
      </c>
      <c r="F225" s="139">
        <v>0</v>
      </c>
      <c r="G225" s="139">
        <v>0</v>
      </c>
      <c r="H225" s="139">
        <v>0</v>
      </c>
      <c r="I225" s="139">
        <v>0</v>
      </c>
      <c r="J225" s="139">
        <v>0</v>
      </c>
      <c r="K225" s="139">
        <v>0</v>
      </c>
      <c r="L225" s="139">
        <v>0</v>
      </c>
      <c r="M225" s="139">
        <v>0</v>
      </c>
      <c r="N225" s="139">
        <v>0</v>
      </c>
      <c r="O225" s="139">
        <v>0</v>
      </c>
      <c r="P225" s="139">
        <v>0</v>
      </c>
      <c r="Q225" s="139">
        <v>0</v>
      </c>
      <c r="R225" s="139">
        <v>0</v>
      </c>
      <c r="S225" s="139">
        <v>0</v>
      </c>
      <c r="T225" s="139">
        <v>0</v>
      </c>
      <c r="U225" s="139">
        <v>0</v>
      </c>
      <c r="V225" s="139">
        <v>0</v>
      </c>
      <c r="W225" s="139">
        <v>0</v>
      </c>
      <c r="X225" s="139">
        <v>0</v>
      </c>
      <c r="Y225" s="139">
        <v>0</v>
      </c>
      <c r="Z225" s="139">
        <v>0</v>
      </c>
      <c r="AA225" s="139">
        <v>0</v>
      </c>
      <c r="AB225" s="139">
        <v>0</v>
      </c>
      <c r="AC225" s="139">
        <v>0</v>
      </c>
      <c r="AD225" s="139">
        <v>0</v>
      </c>
      <c r="AE225" s="139">
        <v>0</v>
      </c>
      <c r="AF225" s="139">
        <v>0</v>
      </c>
      <c r="AG225" s="139">
        <v>0</v>
      </c>
      <c r="AH225" s="139">
        <v>0</v>
      </c>
      <c r="AI225" s="139">
        <v>0</v>
      </c>
      <c r="AJ225" s="139">
        <v>12000</v>
      </c>
      <c r="AK225" s="139">
        <v>12000</v>
      </c>
      <c r="AL225" s="139">
        <v>12000</v>
      </c>
      <c r="AM225" s="139">
        <v>12000</v>
      </c>
      <c r="AN225" s="139">
        <v>12000</v>
      </c>
      <c r="AO225" s="139">
        <v>12000</v>
      </c>
      <c r="AP225" s="139">
        <v>12000</v>
      </c>
      <c r="AQ225" s="139">
        <v>12000</v>
      </c>
      <c r="AR225" s="139">
        <v>12000</v>
      </c>
      <c r="AS225" s="139">
        <v>12000</v>
      </c>
      <c r="AT225" s="139">
        <v>12000</v>
      </c>
      <c r="AU225" s="139">
        <v>12000</v>
      </c>
      <c r="AV225" s="140"/>
    </row>
    <row r="226" spans="2:48" ht="15.75" customHeight="1" x14ac:dyDescent="0.2">
      <c r="B226" s="136" t="s">
        <v>207</v>
      </c>
      <c r="C226" s="137">
        <v>0</v>
      </c>
      <c r="D226" s="138">
        <v>0</v>
      </c>
      <c r="E226" s="139">
        <v>0</v>
      </c>
      <c r="F226" s="139">
        <v>0</v>
      </c>
      <c r="G226" s="139">
        <v>0</v>
      </c>
      <c r="H226" s="139">
        <v>0</v>
      </c>
      <c r="I226" s="139">
        <v>0</v>
      </c>
      <c r="J226" s="139">
        <v>0</v>
      </c>
      <c r="K226" s="139">
        <v>0</v>
      </c>
      <c r="L226" s="139">
        <v>0</v>
      </c>
      <c r="M226" s="139">
        <v>0</v>
      </c>
      <c r="N226" s="139">
        <v>0</v>
      </c>
      <c r="O226" s="139">
        <v>0</v>
      </c>
      <c r="P226" s="139">
        <v>0</v>
      </c>
      <c r="Q226" s="139">
        <v>0</v>
      </c>
      <c r="R226" s="139">
        <v>0</v>
      </c>
      <c r="S226" s="139">
        <v>0</v>
      </c>
      <c r="T226" s="139">
        <v>0</v>
      </c>
      <c r="U226" s="139">
        <v>0</v>
      </c>
      <c r="V226" s="139">
        <v>0</v>
      </c>
      <c r="W226" s="139">
        <v>0</v>
      </c>
      <c r="X226" s="139">
        <v>0</v>
      </c>
      <c r="Y226" s="139">
        <v>0</v>
      </c>
      <c r="Z226" s="139">
        <v>0</v>
      </c>
      <c r="AA226" s="139">
        <v>0</v>
      </c>
      <c r="AB226" s="139">
        <v>0</v>
      </c>
      <c r="AC226" s="139">
        <v>0</v>
      </c>
      <c r="AD226" s="139">
        <v>0</v>
      </c>
      <c r="AE226" s="139">
        <v>0</v>
      </c>
      <c r="AF226" s="139">
        <v>0</v>
      </c>
      <c r="AG226" s="139">
        <v>0</v>
      </c>
      <c r="AH226" s="139">
        <v>0</v>
      </c>
      <c r="AI226" s="139">
        <v>0</v>
      </c>
      <c r="AJ226" s="139">
        <v>0</v>
      </c>
      <c r="AK226" s="139">
        <v>48000</v>
      </c>
      <c r="AL226" s="139">
        <v>48000</v>
      </c>
      <c r="AM226" s="139">
        <v>48000</v>
      </c>
      <c r="AN226" s="139">
        <v>48000</v>
      </c>
      <c r="AO226" s="139">
        <v>48000</v>
      </c>
      <c r="AP226" s="139">
        <v>48000</v>
      </c>
      <c r="AQ226" s="139">
        <v>48000</v>
      </c>
      <c r="AR226" s="139">
        <v>48000</v>
      </c>
      <c r="AS226" s="139">
        <v>48000</v>
      </c>
      <c r="AT226" s="139">
        <v>48000</v>
      </c>
      <c r="AU226" s="139">
        <v>48000</v>
      </c>
      <c r="AV226" s="140"/>
    </row>
    <row r="227" spans="2:48" ht="15.75" customHeight="1" x14ac:dyDescent="0.2">
      <c r="B227" s="136" t="s">
        <v>208</v>
      </c>
      <c r="C227" s="137">
        <v>0</v>
      </c>
      <c r="D227" s="138">
        <v>0</v>
      </c>
      <c r="E227" s="139">
        <v>0</v>
      </c>
      <c r="F227" s="139">
        <v>0</v>
      </c>
      <c r="G227" s="139">
        <v>0</v>
      </c>
      <c r="H227" s="139">
        <v>0</v>
      </c>
      <c r="I227" s="139">
        <v>0</v>
      </c>
      <c r="J227" s="139">
        <v>0</v>
      </c>
      <c r="K227" s="139">
        <v>0</v>
      </c>
      <c r="L227" s="139">
        <v>0</v>
      </c>
      <c r="M227" s="139">
        <v>0</v>
      </c>
      <c r="N227" s="139">
        <v>0</v>
      </c>
      <c r="O227" s="139">
        <v>0</v>
      </c>
      <c r="P227" s="139">
        <v>0</v>
      </c>
      <c r="Q227" s="139">
        <v>0</v>
      </c>
      <c r="R227" s="139">
        <v>0</v>
      </c>
      <c r="S227" s="139">
        <v>0</v>
      </c>
      <c r="T227" s="139">
        <v>0</v>
      </c>
      <c r="U227" s="139">
        <v>0</v>
      </c>
      <c r="V227" s="139">
        <v>0</v>
      </c>
      <c r="W227" s="139">
        <v>0</v>
      </c>
      <c r="X227" s="139">
        <v>0</v>
      </c>
      <c r="Y227" s="139">
        <v>0</v>
      </c>
      <c r="Z227" s="139">
        <v>0</v>
      </c>
      <c r="AA227" s="139">
        <v>0</v>
      </c>
      <c r="AB227" s="139">
        <v>0</v>
      </c>
      <c r="AC227" s="139">
        <v>0</v>
      </c>
      <c r="AD227" s="139">
        <v>0</v>
      </c>
      <c r="AE227" s="139">
        <v>0</v>
      </c>
      <c r="AF227" s="139">
        <v>0</v>
      </c>
      <c r="AG227" s="139">
        <v>0</v>
      </c>
      <c r="AH227" s="139">
        <v>0</v>
      </c>
      <c r="AI227" s="139">
        <v>0</v>
      </c>
      <c r="AJ227" s="139">
        <v>0</v>
      </c>
      <c r="AK227" s="139">
        <v>24576</v>
      </c>
      <c r="AL227" s="139">
        <v>24576</v>
      </c>
      <c r="AM227" s="139">
        <v>24576</v>
      </c>
      <c r="AN227" s="139">
        <v>24576</v>
      </c>
      <c r="AO227" s="139">
        <v>24576</v>
      </c>
      <c r="AP227" s="139">
        <v>24576</v>
      </c>
      <c r="AQ227" s="139">
        <v>24576</v>
      </c>
      <c r="AR227" s="139">
        <v>24576</v>
      </c>
      <c r="AS227" s="139">
        <v>24576</v>
      </c>
      <c r="AT227" s="139">
        <v>24576</v>
      </c>
      <c r="AU227" s="139">
        <v>24576</v>
      </c>
      <c r="AV227" s="140"/>
    </row>
    <row r="228" spans="2:48" ht="15.75" customHeight="1" x14ac:dyDescent="0.2">
      <c r="B228" s="136" t="s">
        <v>209</v>
      </c>
      <c r="C228" s="137">
        <v>0</v>
      </c>
      <c r="D228" s="138">
        <v>0</v>
      </c>
      <c r="E228" s="139">
        <v>0</v>
      </c>
      <c r="F228" s="139">
        <v>0</v>
      </c>
      <c r="G228" s="139">
        <v>0</v>
      </c>
      <c r="H228" s="139">
        <v>0</v>
      </c>
      <c r="I228" s="139">
        <v>0</v>
      </c>
      <c r="J228" s="139">
        <v>0</v>
      </c>
      <c r="K228" s="139">
        <v>0</v>
      </c>
      <c r="L228" s="139">
        <v>0</v>
      </c>
      <c r="M228" s="139">
        <v>0</v>
      </c>
      <c r="N228" s="139">
        <v>0</v>
      </c>
      <c r="O228" s="139">
        <v>0</v>
      </c>
      <c r="P228" s="139">
        <v>0</v>
      </c>
      <c r="Q228" s="139">
        <v>0</v>
      </c>
      <c r="R228" s="139">
        <v>0</v>
      </c>
      <c r="S228" s="139">
        <v>0</v>
      </c>
      <c r="T228" s="139">
        <v>0</v>
      </c>
      <c r="U228" s="139">
        <v>0</v>
      </c>
      <c r="V228" s="139">
        <v>0</v>
      </c>
      <c r="W228" s="139">
        <v>0</v>
      </c>
      <c r="X228" s="139">
        <v>0</v>
      </c>
      <c r="Y228" s="139">
        <v>0</v>
      </c>
      <c r="Z228" s="139">
        <v>0</v>
      </c>
      <c r="AA228" s="139">
        <v>0</v>
      </c>
      <c r="AB228" s="139">
        <v>0</v>
      </c>
      <c r="AC228" s="139">
        <v>0</v>
      </c>
      <c r="AD228" s="139">
        <v>0</v>
      </c>
      <c r="AE228" s="139">
        <v>0</v>
      </c>
      <c r="AF228" s="139">
        <v>0</v>
      </c>
      <c r="AG228" s="139">
        <v>0</v>
      </c>
      <c r="AH228" s="139">
        <v>0</v>
      </c>
      <c r="AI228" s="139">
        <v>0</v>
      </c>
      <c r="AJ228" s="139">
        <v>0</v>
      </c>
      <c r="AK228" s="139">
        <v>68184</v>
      </c>
      <c r="AL228" s="139">
        <v>68184</v>
      </c>
      <c r="AM228" s="139">
        <v>68184</v>
      </c>
      <c r="AN228" s="139">
        <v>68184</v>
      </c>
      <c r="AO228" s="139">
        <v>68184</v>
      </c>
      <c r="AP228" s="139">
        <v>68184</v>
      </c>
      <c r="AQ228" s="139">
        <v>68184</v>
      </c>
      <c r="AR228" s="139">
        <v>68184</v>
      </c>
      <c r="AS228" s="139">
        <v>68184</v>
      </c>
      <c r="AT228" s="139">
        <v>68184</v>
      </c>
      <c r="AU228" s="139">
        <v>68184</v>
      </c>
      <c r="AV228" s="140"/>
    </row>
    <row r="229" spans="2:48" ht="15.75" customHeight="1" x14ac:dyDescent="0.2">
      <c r="B229" s="136" t="s">
        <v>210</v>
      </c>
      <c r="C229" s="137">
        <v>0</v>
      </c>
      <c r="D229" s="138">
        <v>0</v>
      </c>
      <c r="E229" s="139">
        <v>0</v>
      </c>
      <c r="F229" s="139">
        <v>0</v>
      </c>
      <c r="G229" s="139">
        <v>0</v>
      </c>
      <c r="H229" s="139">
        <v>0</v>
      </c>
      <c r="I229" s="139">
        <v>0</v>
      </c>
      <c r="J229" s="139">
        <v>0</v>
      </c>
      <c r="K229" s="139">
        <v>0</v>
      </c>
      <c r="L229" s="139">
        <v>0</v>
      </c>
      <c r="M229" s="139">
        <v>0</v>
      </c>
      <c r="N229" s="139">
        <v>0</v>
      </c>
      <c r="O229" s="139">
        <v>0</v>
      </c>
      <c r="P229" s="139">
        <v>0</v>
      </c>
      <c r="Q229" s="139">
        <v>0</v>
      </c>
      <c r="R229" s="139">
        <v>0</v>
      </c>
      <c r="S229" s="139">
        <v>0</v>
      </c>
      <c r="T229" s="139">
        <v>0</v>
      </c>
      <c r="U229" s="139">
        <v>0</v>
      </c>
      <c r="V229" s="139">
        <v>0</v>
      </c>
      <c r="W229" s="139">
        <v>0</v>
      </c>
      <c r="X229" s="139">
        <v>0</v>
      </c>
      <c r="Y229" s="139">
        <v>0</v>
      </c>
      <c r="Z229" s="139">
        <v>0</v>
      </c>
      <c r="AA229" s="139">
        <v>0</v>
      </c>
      <c r="AB229" s="139">
        <v>0</v>
      </c>
      <c r="AC229" s="139">
        <v>0</v>
      </c>
      <c r="AD229" s="139">
        <v>0</v>
      </c>
      <c r="AE229" s="139">
        <v>0</v>
      </c>
      <c r="AF229" s="139">
        <v>0</v>
      </c>
      <c r="AG229" s="139">
        <v>0</v>
      </c>
      <c r="AH229" s="139">
        <v>0</v>
      </c>
      <c r="AI229" s="139">
        <v>0</v>
      </c>
      <c r="AJ229" s="139">
        <v>0</v>
      </c>
      <c r="AK229" s="139">
        <v>90720</v>
      </c>
      <c r="AL229" s="139">
        <v>90720</v>
      </c>
      <c r="AM229" s="139">
        <v>90720</v>
      </c>
      <c r="AN229" s="139">
        <v>90720</v>
      </c>
      <c r="AO229" s="139">
        <v>90720</v>
      </c>
      <c r="AP229" s="139">
        <v>90720</v>
      </c>
      <c r="AQ229" s="139">
        <v>90720</v>
      </c>
      <c r="AR229" s="139">
        <v>90720</v>
      </c>
      <c r="AS229" s="139">
        <v>90720</v>
      </c>
      <c r="AT229" s="139">
        <v>90720</v>
      </c>
      <c r="AU229" s="139">
        <v>90720</v>
      </c>
      <c r="AV229" s="140"/>
    </row>
    <row r="230" spans="2:48" ht="15.75" customHeight="1" x14ac:dyDescent="0.2">
      <c r="B230" s="136" t="s">
        <v>211</v>
      </c>
      <c r="C230" s="137">
        <v>0</v>
      </c>
      <c r="D230" s="138">
        <v>0</v>
      </c>
      <c r="E230" s="139">
        <v>0</v>
      </c>
      <c r="F230" s="139">
        <v>0</v>
      </c>
      <c r="G230" s="139">
        <v>0</v>
      </c>
      <c r="H230" s="139">
        <v>0</v>
      </c>
      <c r="I230" s="139">
        <v>0</v>
      </c>
      <c r="J230" s="139">
        <v>0</v>
      </c>
      <c r="K230" s="139">
        <v>0</v>
      </c>
      <c r="L230" s="139">
        <v>0</v>
      </c>
      <c r="M230" s="139">
        <v>0</v>
      </c>
      <c r="N230" s="139">
        <v>0</v>
      </c>
      <c r="O230" s="139">
        <v>0</v>
      </c>
      <c r="P230" s="139">
        <v>0</v>
      </c>
      <c r="Q230" s="139">
        <v>0</v>
      </c>
      <c r="R230" s="139">
        <v>0</v>
      </c>
      <c r="S230" s="139">
        <v>0</v>
      </c>
      <c r="T230" s="139">
        <v>0</v>
      </c>
      <c r="U230" s="139">
        <v>0</v>
      </c>
      <c r="V230" s="139">
        <v>0</v>
      </c>
      <c r="W230" s="139">
        <v>0</v>
      </c>
      <c r="X230" s="139">
        <v>0</v>
      </c>
      <c r="Y230" s="139">
        <v>0</v>
      </c>
      <c r="Z230" s="139">
        <v>0</v>
      </c>
      <c r="AA230" s="139">
        <v>0</v>
      </c>
      <c r="AB230" s="139">
        <v>0</v>
      </c>
      <c r="AC230" s="139">
        <v>0</v>
      </c>
      <c r="AD230" s="139">
        <v>0</v>
      </c>
      <c r="AE230" s="139">
        <v>0</v>
      </c>
      <c r="AF230" s="139">
        <v>0</v>
      </c>
      <c r="AG230" s="139">
        <v>0</v>
      </c>
      <c r="AH230" s="139">
        <v>0</v>
      </c>
      <c r="AI230" s="139">
        <v>0</v>
      </c>
      <c r="AJ230" s="139">
        <v>0</v>
      </c>
      <c r="AK230" s="139">
        <v>23808</v>
      </c>
      <c r="AL230" s="139">
        <v>23808</v>
      </c>
      <c r="AM230" s="139">
        <v>23808</v>
      </c>
      <c r="AN230" s="139">
        <v>23808</v>
      </c>
      <c r="AO230" s="139">
        <v>23808</v>
      </c>
      <c r="AP230" s="139">
        <v>23808</v>
      </c>
      <c r="AQ230" s="139">
        <v>23808</v>
      </c>
      <c r="AR230" s="139">
        <v>23808</v>
      </c>
      <c r="AS230" s="139">
        <v>23808</v>
      </c>
      <c r="AT230" s="139">
        <v>23808</v>
      </c>
      <c r="AU230" s="139">
        <v>23808</v>
      </c>
      <c r="AV230" s="140"/>
    </row>
    <row r="231" spans="2:48" ht="15.75" customHeight="1" x14ac:dyDescent="0.2">
      <c r="B231" s="136" t="s">
        <v>212</v>
      </c>
      <c r="C231" s="137">
        <v>0</v>
      </c>
      <c r="D231" s="138">
        <v>0</v>
      </c>
      <c r="E231" s="139">
        <v>0</v>
      </c>
      <c r="F231" s="139">
        <v>0</v>
      </c>
      <c r="G231" s="139">
        <v>0</v>
      </c>
      <c r="H231" s="139">
        <v>0</v>
      </c>
      <c r="I231" s="139">
        <v>0</v>
      </c>
      <c r="J231" s="139">
        <v>0</v>
      </c>
      <c r="K231" s="139">
        <v>0</v>
      </c>
      <c r="L231" s="139">
        <v>0</v>
      </c>
      <c r="M231" s="139">
        <v>0</v>
      </c>
      <c r="N231" s="139">
        <v>0</v>
      </c>
      <c r="O231" s="139">
        <v>0</v>
      </c>
      <c r="P231" s="139">
        <v>0</v>
      </c>
      <c r="Q231" s="139">
        <v>0</v>
      </c>
      <c r="R231" s="139">
        <v>0</v>
      </c>
      <c r="S231" s="139">
        <v>0</v>
      </c>
      <c r="T231" s="139">
        <v>0</v>
      </c>
      <c r="U231" s="139">
        <v>0</v>
      </c>
      <c r="V231" s="139">
        <v>0</v>
      </c>
      <c r="W231" s="139">
        <v>0</v>
      </c>
      <c r="X231" s="139">
        <v>0</v>
      </c>
      <c r="Y231" s="139">
        <v>0</v>
      </c>
      <c r="Z231" s="139">
        <v>0</v>
      </c>
      <c r="AA231" s="139">
        <v>0</v>
      </c>
      <c r="AB231" s="139">
        <v>0</v>
      </c>
      <c r="AC231" s="139">
        <v>0</v>
      </c>
      <c r="AD231" s="139">
        <v>0</v>
      </c>
      <c r="AE231" s="139">
        <v>0</v>
      </c>
      <c r="AF231" s="139">
        <v>0</v>
      </c>
      <c r="AG231" s="139">
        <v>0</v>
      </c>
      <c r="AH231" s="139">
        <v>0</v>
      </c>
      <c r="AI231" s="139">
        <v>0</v>
      </c>
      <c r="AJ231" s="139">
        <v>0</v>
      </c>
      <c r="AK231" s="139">
        <v>12000</v>
      </c>
      <c r="AL231" s="139">
        <v>12000</v>
      </c>
      <c r="AM231" s="139">
        <v>12000</v>
      </c>
      <c r="AN231" s="139">
        <v>12000</v>
      </c>
      <c r="AO231" s="139">
        <v>12000</v>
      </c>
      <c r="AP231" s="139">
        <v>12000</v>
      </c>
      <c r="AQ231" s="139">
        <v>12000</v>
      </c>
      <c r="AR231" s="139">
        <v>12000</v>
      </c>
      <c r="AS231" s="139">
        <v>12000</v>
      </c>
      <c r="AT231" s="139">
        <v>12000</v>
      </c>
      <c r="AU231" s="139">
        <v>12000</v>
      </c>
      <c r="AV231" s="140"/>
    </row>
    <row r="232" spans="2:48" ht="15.75" customHeight="1" x14ac:dyDescent="0.2">
      <c r="B232" s="136" t="s">
        <v>213</v>
      </c>
      <c r="C232" s="137">
        <v>0</v>
      </c>
      <c r="D232" s="138">
        <v>0</v>
      </c>
      <c r="E232" s="139">
        <v>0</v>
      </c>
      <c r="F232" s="139">
        <v>0</v>
      </c>
      <c r="G232" s="139">
        <v>0</v>
      </c>
      <c r="H232" s="139">
        <v>0</v>
      </c>
      <c r="I232" s="139">
        <v>0</v>
      </c>
      <c r="J232" s="139">
        <v>0</v>
      </c>
      <c r="K232" s="139">
        <v>0</v>
      </c>
      <c r="L232" s="139">
        <v>0</v>
      </c>
      <c r="M232" s="139">
        <v>0</v>
      </c>
      <c r="N232" s="139">
        <v>0</v>
      </c>
      <c r="O232" s="139">
        <v>0</v>
      </c>
      <c r="P232" s="139">
        <v>0</v>
      </c>
      <c r="Q232" s="139">
        <v>0</v>
      </c>
      <c r="R232" s="139">
        <v>0</v>
      </c>
      <c r="S232" s="139">
        <v>0</v>
      </c>
      <c r="T232" s="139">
        <v>0</v>
      </c>
      <c r="U232" s="139">
        <v>0</v>
      </c>
      <c r="V232" s="139">
        <v>0</v>
      </c>
      <c r="W232" s="139">
        <v>0</v>
      </c>
      <c r="X232" s="139">
        <v>0</v>
      </c>
      <c r="Y232" s="139">
        <v>0</v>
      </c>
      <c r="Z232" s="139">
        <v>0</v>
      </c>
      <c r="AA232" s="139">
        <v>0</v>
      </c>
      <c r="AB232" s="139">
        <v>0</v>
      </c>
      <c r="AC232" s="139">
        <v>0</v>
      </c>
      <c r="AD232" s="139">
        <v>0</v>
      </c>
      <c r="AE232" s="139">
        <v>0</v>
      </c>
      <c r="AF232" s="139">
        <v>0</v>
      </c>
      <c r="AG232" s="139">
        <v>0</v>
      </c>
      <c r="AH232" s="139">
        <v>0</v>
      </c>
      <c r="AI232" s="139">
        <v>0</v>
      </c>
      <c r="AJ232" s="139">
        <v>0</v>
      </c>
      <c r="AK232" s="139">
        <v>14880</v>
      </c>
      <c r="AL232" s="139">
        <v>14880</v>
      </c>
      <c r="AM232" s="139">
        <v>14880</v>
      </c>
      <c r="AN232" s="139">
        <v>14880</v>
      </c>
      <c r="AO232" s="139">
        <v>14880</v>
      </c>
      <c r="AP232" s="139">
        <v>14880</v>
      </c>
      <c r="AQ232" s="139">
        <v>14880</v>
      </c>
      <c r="AR232" s="139">
        <v>14880</v>
      </c>
      <c r="AS232" s="139">
        <v>14880</v>
      </c>
      <c r="AT232" s="139">
        <v>14880</v>
      </c>
      <c r="AU232" s="139">
        <v>14880</v>
      </c>
      <c r="AV232" s="140"/>
    </row>
    <row r="233" spans="2:48" ht="15.75" customHeight="1" x14ac:dyDescent="0.2">
      <c r="B233" s="136" t="s">
        <v>214</v>
      </c>
      <c r="C233" s="137">
        <v>0</v>
      </c>
      <c r="D233" s="138">
        <v>0</v>
      </c>
      <c r="E233" s="139">
        <v>0</v>
      </c>
      <c r="F233" s="139">
        <v>0</v>
      </c>
      <c r="G233" s="139">
        <v>0</v>
      </c>
      <c r="H233" s="139">
        <v>0</v>
      </c>
      <c r="I233" s="139">
        <v>0</v>
      </c>
      <c r="J233" s="139">
        <v>0</v>
      </c>
      <c r="K233" s="139">
        <v>0</v>
      </c>
      <c r="L233" s="139">
        <v>0</v>
      </c>
      <c r="M233" s="139">
        <v>0</v>
      </c>
      <c r="N233" s="139">
        <v>0</v>
      </c>
      <c r="O233" s="139">
        <v>0</v>
      </c>
      <c r="P233" s="139">
        <v>0</v>
      </c>
      <c r="Q233" s="139">
        <v>0</v>
      </c>
      <c r="R233" s="139">
        <v>0</v>
      </c>
      <c r="S233" s="139">
        <v>0</v>
      </c>
      <c r="T233" s="139">
        <v>0</v>
      </c>
      <c r="U233" s="139">
        <v>0</v>
      </c>
      <c r="V233" s="139">
        <v>0</v>
      </c>
      <c r="W233" s="139">
        <v>0</v>
      </c>
      <c r="X233" s="139">
        <v>0</v>
      </c>
      <c r="Y233" s="139">
        <v>0</v>
      </c>
      <c r="Z233" s="139">
        <v>0</v>
      </c>
      <c r="AA233" s="139">
        <v>0</v>
      </c>
      <c r="AB233" s="139">
        <v>0</v>
      </c>
      <c r="AC233" s="139">
        <v>0</v>
      </c>
      <c r="AD233" s="139">
        <v>0</v>
      </c>
      <c r="AE233" s="139">
        <v>0</v>
      </c>
      <c r="AF233" s="139">
        <v>0</v>
      </c>
      <c r="AG233" s="139">
        <v>0</v>
      </c>
      <c r="AH233" s="139">
        <v>0</v>
      </c>
      <c r="AI233" s="139">
        <v>0</v>
      </c>
      <c r="AJ233" s="139">
        <v>0</v>
      </c>
      <c r="AK233" s="139">
        <v>77760</v>
      </c>
      <c r="AL233" s="139">
        <v>77760</v>
      </c>
      <c r="AM233" s="139">
        <v>77760</v>
      </c>
      <c r="AN233" s="139">
        <v>77760</v>
      </c>
      <c r="AO233" s="139">
        <v>77760</v>
      </c>
      <c r="AP233" s="139">
        <v>77760</v>
      </c>
      <c r="AQ233" s="139">
        <v>77760</v>
      </c>
      <c r="AR233" s="139">
        <v>77760</v>
      </c>
      <c r="AS233" s="139">
        <v>77760</v>
      </c>
      <c r="AT233" s="139">
        <v>97056</v>
      </c>
      <c r="AU233" s="139">
        <v>97056</v>
      </c>
      <c r="AV233" s="140"/>
    </row>
    <row r="234" spans="2:48" ht="15.75" customHeight="1" x14ac:dyDescent="0.2">
      <c r="B234" s="136" t="s">
        <v>215</v>
      </c>
      <c r="C234" s="137">
        <v>0</v>
      </c>
      <c r="D234" s="138">
        <v>0</v>
      </c>
      <c r="E234" s="139">
        <v>0</v>
      </c>
      <c r="F234" s="139">
        <v>0</v>
      </c>
      <c r="G234" s="139">
        <v>0</v>
      </c>
      <c r="H234" s="139">
        <v>0</v>
      </c>
      <c r="I234" s="139">
        <v>0</v>
      </c>
      <c r="J234" s="139">
        <v>0</v>
      </c>
      <c r="K234" s="139">
        <v>0</v>
      </c>
      <c r="L234" s="139">
        <v>0</v>
      </c>
      <c r="M234" s="139">
        <v>0</v>
      </c>
      <c r="N234" s="139">
        <v>0</v>
      </c>
      <c r="O234" s="139">
        <v>0</v>
      </c>
      <c r="P234" s="139">
        <v>0</v>
      </c>
      <c r="Q234" s="139">
        <v>0</v>
      </c>
      <c r="R234" s="139">
        <v>0</v>
      </c>
      <c r="S234" s="139">
        <v>0</v>
      </c>
      <c r="T234" s="139">
        <v>0</v>
      </c>
      <c r="U234" s="139">
        <v>0</v>
      </c>
      <c r="V234" s="139">
        <v>0</v>
      </c>
      <c r="W234" s="139">
        <v>0</v>
      </c>
      <c r="X234" s="139">
        <v>0</v>
      </c>
      <c r="Y234" s="139">
        <v>0</v>
      </c>
      <c r="Z234" s="139">
        <v>0</v>
      </c>
      <c r="AA234" s="139">
        <v>0</v>
      </c>
      <c r="AB234" s="139">
        <v>0</v>
      </c>
      <c r="AC234" s="139">
        <v>0</v>
      </c>
      <c r="AD234" s="139">
        <v>0</v>
      </c>
      <c r="AE234" s="139">
        <v>0</v>
      </c>
      <c r="AF234" s="139">
        <v>0</v>
      </c>
      <c r="AG234" s="139">
        <v>0</v>
      </c>
      <c r="AH234" s="139">
        <v>0</v>
      </c>
      <c r="AI234" s="139">
        <v>0</v>
      </c>
      <c r="AJ234" s="139">
        <v>0</v>
      </c>
      <c r="AK234" s="139">
        <v>13260</v>
      </c>
      <c r="AL234" s="139">
        <v>13260</v>
      </c>
      <c r="AM234" s="139">
        <v>13260</v>
      </c>
      <c r="AN234" s="139">
        <v>13260</v>
      </c>
      <c r="AO234" s="139">
        <v>13260</v>
      </c>
      <c r="AP234" s="139">
        <v>13260</v>
      </c>
      <c r="AQ234" s="139">
        <v>13260</v>
      </c>
      <c r="AR234" s="139">
        <v>13260</v>
      </c>
      <c r="AS234" s="139">
        <v>13260</v>
      </c>
      <c r="AT234" s="139">
        <v>13260</v>
      </c>
      <c r="AU234" s="139">
        <v>13260</v>
      </c>
      <c r="AV234" s="140"/>
    </row>
    <row r="235" spans="2:48" ht="15.75" customHeight="1" x14ac:dyDescent="0.2">
      <c r="B235" s="136" t="s">
        <v>216</v>
      </c>
      <c r="C235" s="137">
        <v>0</v>
      </c>
      <c r="D235" s="138">
        <v>0</v>
      </c>
      <c r="E235" s="139">
        <v>0</v>
      </c>
      <c r="F235" s="139">
        <v>0</v>
      </c>
      <c r="G235" s="139">
        <v>0</v>
      </c>
      <c r="H235" s="139">
        <v>0</v>
      </c>
      <c r="I235" s="139">
        <v>0</v>
      </c>
      <c r="J235" s="139">
        <v>0</v>
      </c>
      <c r="K235" s="139">
        <v>0</v>
      </c>
      <c r="L235" s="139">
        <v>0</v>
      </c>
      <c r="M235" s="139">
        <v>0</v>
      </c>
      <c r="N235" s="139">
        <v>0</v>
      </c>
      <c r="O235" s="139">
        <v>0</v>
      </c>
      <c r="P235" s="139">
        <v>0</v>
      </c>
      <c r="Q235" s="139">
        <v>0</v>
      </c>
      <c r="R235" s="139">
        <v>0</v>
      </c>
      <c r="S235" s="139">
        <v>0</v>
      </c>
      <c r="T235" s="139">
        <v>0</v>
      </c>
      <c r="U235" s="139">
        <v>0</v>
      </c>
      <c r="V235" s="139">
        <v>0</v>
      </c>
      <c r="W235" s="139">
        <v>0</v>
      </c>
      <c r="X235" s="139">
        <v>0</v>
      </c>
      <c r="Y235" s="139">
        <v>0</v>
      </c>
      <c r="Z235" s="139">
        <v>0</v>
      </c>
      <c r="AA235" s="139">
        <v>0</v>
      </c>
      <c r="AB235" s="139">
        <v>0</v>
      </c>
      <c r="AC235" s="139">
        <v>0</v>
      </c>
      <c r="AD235" s="139">
        <v>0</v>
      </c>
      <c r="AE235" s="139">
        <v>0</v>
      </c>
      <c r="AF235" s="139">
        <v>0</v>
      </c>
      <c r="AG235" s="139">
        <v>0</v>
      </c>
      <c r="AH235" s="139">
        <v>0</v>
      </c>
      <c r="AI235" s="139">
        <v>0</v>
      </c>
      <c r="AJ235" s="139">
        <v>0</v>
      </c>
      <c r="AK235" s="139">
        <v>16992</v>
      </c>
      <c r="AL235" s="139">
        <v>16992</v>
      </c>
      <c r="AM235" s="139">
        <v>16992</v>
      </c>
      <c r="AN235" s="139">
        <v>16992</v>
      </c>
      <c r="AO235" s="139">
        <v>16992</v>
      </c>
      <c r="AP235" s="139">
        <v>16992</v>
      </c>
      <c r="AQ235" s="139">
        <v>16992</v>
      </c>
      <c r="AR235" s="139">
        <v>16992</v>
      </c>
      <c r="AS235" s="139">
        <v>16992</v>
      </c>
      <c r="AT235" s="139">
        <v>16992</v>
      </c>
      <c r="AU235" s="139">
        <v>16992</v>
      </c>
      <c r="AV235" s="140"/>
    </row>
    <row r="236" spans="2:48" ht="15.75" customHeight="1" x14ac:dyDescent="0.2">
      <c r="B236" s="136" t="s">
        <v>217</v>
      </c>
      <c r="C236" s="137">
        <v>0</v>
      </c>
      <c r="D236" s="138">
        <v>0</v>
      </c>
      <c r="E236" s="139">
        <v>0</v>
      </c>
      <c r="F236" s="139">
        <v>0</v>
      </c>
      <c r="G236" s="139">
        <v>0</v>
      </c>
      <c r="H236" s="139">
        <v>0</v>
      </c>
      <c r="I236" s="139">
        <v>0</v>
      </c>
      <c r="J236" s="139">
        <v>0</v>
      </c>
      <c r="K236" s="139">
        <v>0</v>
      </c>
      <c r="L236" s="139">
        <v>0</v>
      </c>
      <c r="M236" s="139">
        <v>0</v>
      </c>
      <c r="N236" s="139">
        <v>0</v>
      </c>
      <c r="O236" s="139">
        <v>0</v>
      </c>
      <c r="P236" s="139">
        <v>0</v>
      </c>
      <c r="Q236" s="139">
        <v>0</v>
      </c>
      <c r="R236" s="139">
        <v>0</v>
      </c>
      <c r="S236" s="139">
        <v>0</v>
      </c>
      <c r="T236" s="139">
        <v>0</v>
      </c>
      <c r="U236" s="139">
        <v>0</v>
      </c>
      <c r="V236" s="139">
        <v>0</v>
      </c>
      <c r="W236" s="139">
        <v>0</v>
      </c>
      <c r="X236" s="139">
        <v>0</v>
      </c>
      <c r="Y236" s="139">
        <v>0</v>
      </c>
      <c r="Z236" s="139">
        <v>0</v>
      </c>
      <c r="AA236" s="139">
        <v>0</v>
      </c>
      <c r="AB236" s="139">
        <v>0</v>
      </c>
      <c r="AC236" s="139">
        <v>0</v>
      </c>
      <c r="AD236" s="139">
        <v>0</v>
      </c>
      <c r="AE236" s="139">
        <v>0</v>
      </c>
      <c r="AF236" s="139">
        <v>0</v>
      </c>
      <c r="AG236" s="139">
        <v>0</v>
      </c>
      <c r="AH236" s="139">
        <v>0</v>
      </c>
      <c r="AI236" s="139">
        <v>0</v>
      </c>
      <c r="AJ236" s="139">
        <v>0</v>
      </c>
      <c r="AK236" s="139">
        <v>40020</v>
      </c>
      <c r="AL236" s="139">
        <v>40020</v>
      </c>
      <c r="AM236" s="139">
        <v>40020</v>
      </c>
      <c r="AN236" s="139">
        <v>40020</v>
      </c>
      <c r="AO236" s="139">
        <v>40020</v>
      </c>
      <c r="AP236" s="139">
        <v>40020</v>
      </c>
      <c r="AQ236" s="139">
        <v>40020</v>
      </c>
      <c r="AR236" s="139">
        <v>40020</v>
      </c>
      <c r="AS236" s="139">
        <v>40020</v>
      </c>
      <c r="AT236" s="139">
        <v>40020</v>
      </c>
      <c r="AU236" s="139">
        <v>40020</v>
      </c>
      <c r="AV236" s="140"/>
    </row>
    <row r="237" spans="2:48" ht="15.75" customHeight="1" x14ac:dyDescent="0.2">
      <c r="B237" s="136" t="s">
        <v>218</v>
      </c>
      <c r="C237" s="137">
        <v>0</v>
      </c>
      <c r="D237" s="138">
        <v>0</v>
      </c>
      <c r="E237" s="139">
        <v>0</v>
      </c>
      <c r="F237" s="139">
        <v>0</v>
      </c>
      <c r="G237" s="139">
        <v>0</v>
      </c>
      <c r="H237" s="139">
        <v>0</v>
      </c>
      <c r="I237" s="139">
        <v>0</v>
      </c>
      <c r="J237" s="139">
        <v>0</v>
      </c>
      <c r="K237" s="139">
        <v>0</v>
      </c>
      <c r="L237" s="139">
        <v>0</v>
      </c>
      <c r="M237" s="139">
        <v>0</v>
      </c>
      <c r="N237" s="139">
        <v>0</v>
      </c>
      <c r="O237" s="139">
        <v>0</v>
      </c>
      <c r="P237" s="139">
        <v>0</v>
      </c>
      <c r="Q237" s="139">
        <v>0</v>
      </c>
      <c r="R237" s="139">
        <v>0</v>
      </c>
      <c r="S237" s="139">
        <v>0</v>
      </c>
      <c r="T237" s="139">
        <v>0</v>
      </c>
      <c r="U237" s="139">
        <v>0</v>
      </c>
      <c r="V237" s="139">
        <v>0</v>
      </c>
      <c r="W237" s="139">
        <v>0</v>
      </c>
      <c r="X237" s="139">
        <v>0</v>
      </c>
      <c r="Y237" s="139">
        <v>0</v>
      </c>
      <c r="Z237" s="139">
        <v>0</v>
      </c>
      <c r="AA237" s="139">
        <v>0</v>
      </c>
      <c r="AB237" s="139">
        <v>0</v>
      </c>
      <c r="AC237" s="139">
        <v>0</v>
      </c>
      <c r="AD237" s="139">
        <v>0</v>
      </c>
      <c r="AE237" s="139">
        <v>0</v>
      </c>
      <c r="AF237" s="139">
        <v>0</v>
      </c>
      <c r="AG237" s="139">
        <v>0</v>
      </c>
      <c r="AH237" s="139">
        <v>0</v>
      </c>
      <c r="AI237" s="139">
        <v>0</v>
      </c>
      <c r="AJ237" s="139">
        <v>0</v>
      </c>
      <c r="AK237" s="139">
        <v>12600</v>
      </c>
      <c r="AL237" s="139">
        <v>12600</v>
      </c>
      <c r="AM237" s="139">
        <v>12600</v>
      </c>
      <c r="AN237" s="139">
        <v>12600</v>
      </c>
      <c r="AO237" s="139">
        <v>12600</v>
      </c>
      <c r="AP237" s="139">
        <v>12600</v>
      </c>
      <c r="AQ237" s="139">
        <v>12600</v>
      </c>
      <c r="AR237" s="139">
        <v>12600</v>
      </c>
      <c r="AS237" s="139">
        <v>12600</v>
      </c>
      <c r="AT237" s="139">
        <v>12600</v>
      </c>
      <c r="AU237" s="139">
        <v>12600</v>
      </c>
      <c r="AV237" s="140"/>
    </row>
    <row r="238" spans="2:48" ht="15.75" customHeight="1" x14ac:dyDescent="0.2">
      <c r="B238" s="136" t="s">
        <v>219</v>
      </c>
      <c r="C238" s="137">
        <v>0</v>
      </c>
      <c r="D238" s="138">
        <v>0</v>
      </c>
      <c r="E238" s="139">
        <v>0</v>
      </c>
      <c r="F238" s="139">
        <v>0</v>
      </c>
      <c r="G238" s="139">
        <v>0</v>
      </c>
      <c r="H238" s="139">
        <v>0</v>
      </c>
      <c r="I238" s="139">
        <v>0</v>
      </c>
      <c r="J238" s="139">
        <v>0</v>
      </c>
      <c r="K238" s="139">
        <v>0</v>
      </c>
      <c r="L238" s="139">
        <v>0</v>
      </c>
      <c r="M238" s="139">
        <v>0</v>
      </c>
      <c r="N238" s="139">
        <v>0</v>
      </c>
      <c r="O238" s="139">
        <v>0</v>
      </c>
      <c r="P238" s="139">
        <v>0</v>
      </c>
      <c r="Q238" s="139">
        <v>0</v>
      </c>
      <c r="R238" s="139">
        <v>0</v>
      </c>
      <c r="S238" s="139">
        <v>0</v>
      </c>
      <c r="T238" s="139">
        <v>0</v>
      </c>
      <c r="U238" s="139">
        <v>0</v>
      </c>
      <c r="V238" s="139">
        <v>0</v>
      </c>
      <c r="W238" s="139">
        <v>0</v>
      </c>
      <c r="X238" s="139">
        <v>0</v>
      </c>
      <c r="Y238" s="139">
        <v>0</v>
      </c>
      <c r="Z238" s="139">
        <v>0</v>
      </c>
      <c r="AA238" s="139">
        <v>0</v>
      </c>
      <c r="AB238" s="139">
        <v>0</v>
      </c>
      <c r="AC238" s="139">
        <v>0</v>
      </c>
      <c r="AD238" s="139">
        <v>0</v>
      </c>
      <c r="AE238" s="139">
        <v>0</v>
      </c>
      <c r="AF238" s="139">
        <v>0</v>
      </c>
      <c r="AG238" s="139">
        <v>0</v>
      </c>
      <c r="AH238" s="139">
        <v>0</v>
      </c>
      <c r="AI238" s="139">
        <v>0</v>
      </c>
      <c r="AJ238" s="139">
        <v>0</v>
      </c>
      <c r="AK238" s="139">
        <v>60900</v>
      </c>
      <c r="AL238" s="139">
        <v>60900</v>
      </c>
      <c r="AM238" s="139">
        <v>60900</v>
      </c>
      <c r="AN238" s="139">
        <v>60900</v>
      </c>
      <c r="AO238" s="139">
        <v>60900</v>
      </c>
      <c r="AP238" s="139">
        <v>60900</v>
      </c>
      <c r="AQ238" s="139">
        <v>60900</v>
      </c>
      <c r="AR238" s="139">
        <v>60900</v>
      </c>
      <c r="AS238" s="139">
        <v>60900</v>
      </c>
      <c r="AT238" s="139">
        <v>60900</v>
      </c>
      <c r="AU238" s="139">
        <v>60900</v>
      </c>
      <c r="AV238" s="140"/>
    </row>
    <row r="239" spans="2:48" ht="15.75" customHeight="1" x14ac:dyDescent="0.2">
      <c r="B239" s="136" t="s">
        <v>220</v>
      </c>
      <c r="C239" s="137">
        <v>0</v>
      </c>
      <c r="D239" s="138">
        <v>0</v>
      </c>
      <c r="E239" s="139">
        <v>0</v>
      </c>
      <c r="F239" s="139">
        <v>0</v>
      </c>
      <c r="G239" s="139">
        <v>0</v>
      </c>
      <c r="H239" s="139">
        <v>0</v>
      </c>
      <c r="I239" s="139">
        <v>0</v>
      </c>
      <c r="J239" s="139">
        <v>0</v>
      </c>
      <c r="K239" s="139">
        <v>0</v>
      </c>
      <c r="L239" s="139">
        <v>0</v>
      </c>
      <c r="M239" s="139">
        <v>0</v>
      </c>
      <c r="N239" s="139">
        <v>0</v>
      </c>
      <c r="O239" s="139">
        <v>0</v>
      </c>
      <c r="P239" s="139">
        <v>0</v>
      </c>
      <c r="Q239" s="139">
        <v>0</v>
      </c>
      <c r="R239" s="139">
        <v>0</v>
      </c>
      <c r="S239" s="139">
        <v>0</v>
      </c>
      <c r="T239" s="139">
        <v>0</v>
      </c>
      <c r="U239" s="139">
        <v>0</v>
      </c>
      <c r="V239" s="139">
        <v>0</v>
      </c>
      <c r="W239" s="139">
        <v>0</v>
      </c>
      <c r="X239" s="139">
        <v>0</v>
      </c>
      <c r="Y239" s="139">
        <v>0</v>
      </c>
      <c r="Z239" s="139">
        <v>0</v>
      </c>
      <c r="AA239" s="139">
        <v>0</v>
      </c>
      <c r="AB239" s="139">
        <v>0</v>
      </c>
      <c r="AC239" s="139">
        <v>0</v>
      </c>
      <c r="AD239" s="139">
        <v>0</v>
      </c>
      <c r="AE239" s="139">
        <v>0</v>
      </c>
      <c r="AF239" s="139">
        <v>0</v>
      </c>
      <c r="AG239" s="139">
        <v>0</v>
      </c>
      <c r="AH239" s="139">
        <v>0</v>
      </c>
      <c r="AI239" s="139">
        <v>0</v>
      </c>
      <c r="AJ239" s="139">
        <v>0</v>
      </c>
      <c r="AK239" s="139">
        <v>14400</v>
      </c>
      <c r="AL239" s="139">
        <v>14400</v>
      </c>
      <c r="AM239" s="139">
        <v>14400</v>
      </c>
      <c r="AN239" s="139">
        <v>14400</v>
      </c>
      <c r="AO239" s="139">
        <v>14400</v>
      </c>
      <c r="AP239" s="139">
        <v>14400</v>
      </c>
      <c r="AQ239" s="139">
        <v>14400</v>
      </c>
      <c r="AR239" s="139">
        <v>14400</v>
      </c>
      <c r="AS239" s="139">
        <v>14400</v>
      </c>
      <c r="AT239" s="139">
        <v>14400</v>
      </c>
      <c r="AU239" s="139">
        <v>14400</v>
      </c>
      <c r="AV239" s="140"/>
    </row>
    <row r="240" spans="2:48" ht="15.75" customHeight="1" x14ac:dyDescent="0.2">
      <c r="B240" s="136" t="s">
        <v>221</v>
      </c>
      <c r="C240" s="137">
        <v>0</v>
      </c>
      <c r="D240" s="138">
        <v>0</v>
      </c>
      <c r="E240" s="139">
        <v>0</v>
      </c>
      <c r="F240" s="139">
        <v>0</v>
      </c>
      <c r="G240" s="139">
        <v>0</v>
      </c>
      <c r="H240" s="139">
        <v>0</v>
      </c>
      <c r="I240" s="139">
        <v>0</v>
      </c>
      <c r="J240" s="139">
        <v>0</v>
      </c>
      <c r="K240" s="139">
        <v>0</v>
      </c>
      <c r="L240" s="139">
        <v>0</v>
      </c>
      <c r="M240" s="139">
        <v>0</v>
      </c>
      <c r="N240" s="139">
        <v>0</v>
      </c>
      <c r="O240" s="139">
        <v>0</v>
      </c>
      <c r="P240" s="139">
        <v>0</v>
      </c>
      <c r="Q240" s="139">
        <v>0</v>
      </c>
      <c r="R240" s="139">
        <v>0</v>
      </c>
      <c r="S240" s="139">
        <v>0</v>
      </c>
      <c r="T240" s="139">
        <v>0</v>
      </c>
      <c r="U240" s="139">
        <v>0</v>
      </c>
      <c r="V240" s="139">
        <v>0</v>
      </c>
      <c r="W240" s="139">
        <v>0</v>
      </c>
      <c r="X240" s="139">
        <v>0</v>
      </c>
      <c r="Y240" s="139">
        <v>0</v>
      </c>
      <c r="Z240" s="139">
        <v>0</v>
      </c>
      <c r="AA240" s="139">
        <v>0</v>
      </c>
      <c r="AB240" s="139">
        <v>0</v>
      </c>
      <c r="AC240" s="139">
        <v>0</v>
      </c>
      <c r="AD240" s="139">
        <v>0</v>
      </c>
      <c r="AE240" s="139">
        <v>0</v>
      </c>
      <c r="AF240" s="139">
        <v>0</v>
      </c>
      <c r="AG240" s="139">
        <v>0</v>
      </c>
      <c r="AH240" s="139">
        <v>0</v>
      </c>
      <c r="AI240" s="139">
        <v>0</v>
      </c>
      <c r="AJ240" s="139">
        <v>0</v>
      </c>
      <c r="AK240" s="139">
        <v>38640</v>
      </c>
      <c r="AL240" s="139">
        <v>38640</v>
      </c>
      <c r="AM240" s="139">
        <v>38640</v>
      </c>
      <c r="AN240" s="139">
        <v>38640</v>
      </c>
      <c r="AO240" s="139">
        <v>38640</v>
      </c>
      <c r="AP240" s="139">
        <v>38640</v>
      </c>
      <c r="AQ240" s="139">
        <v>38640</v>
      </c>
      <c r="AR240" s="139">
        <v>38640</v>
      </c>
      <c r="AS240" s="139">
        <v>38640</v>
      </c>
      <c r="AT240" s="139">
        <v>38640</v>
      </c>
      <c r="AU240" s="139">
        <v>38640</v>
      </c>
      <c r="AV240" s="140"/>
    </row>
    <row r="241" spans="2:48" ht="15.75" customHeight="1" x14ac:dyDescent="0.2">
      <c r="B241" s="136" t="s">
        <v>222</v>
      </c>
      <c r="C241" s="137">
        <v>0</v>
      </c>
      <c r="D241" s="138">
        <v>0</v>
      </c>
      <c r="E241" s="139">
        <v>0</v>
      </c>
      <c r="F241" s="139">
        <v>0</v>
      </c>
      <c r="G241" s="139">
        <v>0</v>
      </c>
      <c r="H241" s="139">
        <v>0</v>
      </c>
      <c r="I241" s="139">
        <v>0</v>
      </c>
      <c r="J241" s="139">
        <v>0</v>
      </c>
      <c r="K241" s="139">
        <v>0</v>
      </c>
      <c r="L241" s="139">
        <v>0</v>
      </c>
      <c r="M241" s="139">
        <v>0</v>
      </c>
      <c r="N241" s="139">
        <v>0</v>
      </c>
      <c r="O241" s="139">
        <v>0</v>
      </c>
      <c r="P241" s="139">
        <v>0</v>
      </c>
      <c r="Q241" s="139">
        <v>0</v>
      </c>
      <c r="R241" s="139">
        <v>0</v>
      </c>
      <c r="S241" s="139">
        <v>0</v>
      </c>
      <c r="T241" s="139">
        <v>0</v>
      </c>
      <c r="U241" s="139">
        <v>0</v>
      </c>
      <c r="V241" s="139">
        <v>0</v>
      </c>
      <c r="W241" s="139">
        <v>0</v>
      </c>
      <c r="X241" s="139">
        <v>0</v>
      </c>
      <c r="Y241" s="139">
        <v>0</v>
      </c>
      <c r="Z241" s="139">
        <v>0</v>
      </c>
      <c r="AA241" s="139">
        <v>0</v>
      </c>
      <c r="AB241" s="139">
        <v>0</v>
      </c>
      <c r="AC241" s="139">
        <v>0</v>
      </c>
      <c r="AD241" s="139">
        <v>0</v>
      </c>
      <c r="AE241" s="139">
        <v>0</v>
      </c>
      <c r="AF241" s="139">
        <v>0</v>
      </c>
      <c r="AG241" s="139">
        <v>0</v>
      </c>
      <c r="AH241" s="139">
        <v>0</v>
      </c>
      <c r="AI241" s="139">
        <v>0</v>
      </c>
      <c r="AJ241" s="139">
        <v>0</v>
      </c>
      <c r="AK241" s="139">
        <v>49005</v>
      </c>
      <c r="AL241" s="139">
        <v>49005</v>
      </c>
      <c r="AM241" s="139">
        <v>49005</v>
      </c>
      <c r="AN241" s="139">
        <v>49005</v>
      </c>
      <c r="AO241" s="139">
        <v>49005</v>
      </c>
      <c r="AP241" s="139">
        <v>49005</v>
      </c>
      <c r="AQ241" s="139">
        <v>49005</v>
      </c>
      <c r="AR241" s="139">
        <v>49005</v>
      </c>
      <c r="AS241" s="139">
        <v>49005</v>
      </c>
      <c r="AT241" s="139">
        <v>49005</v>
      </c>
      <c r="AU241" s="139">
        <v>49005</v>
      </c>
      <c r="AV241" s="140"/>
    </row>
    <row r="242" spans="2:48" ht="15.75" customHeight="1" x14ac:dyDescent="0.2">
      <c r="B242" s="136" t="s">
        <v>223</v>
      </c>
      <c r="C242" s="137">
        <v>0</v>
      </c>
      <c r="D242" s="138">
        <v>0</v>
      </c>
      <c r="E242" s="139">
        <v>0</v>
      </c>
      <c r="F242" s="139">
        <v>0</v>
      </c>
      <c r="G242" s="139">
        <v>0</v>
      </c>
      <c r="H242" s="139">
        <v>0</v>
      </c>
      <c r="I242" s="139">
        <v>0</v>
      </c>
      <c r="J242" s="139">
        <v>0</v>
      </c>
      <c r="K242" s="139">
        <v>0</v>
      </c>
      <c r="L242" s="139">
        <v>0</v>
      </c>
      <c r="M242" s="139">
        <v>0</v>
      </c>
      <c r="N242" s="139">
        <v>0</v>
      </c>
      <c r="O242" s="139">
        <v>0</v>
      </c>
      <c r="P242" s="139">
        <v>0</v>
      </c>
      <c r="Q242" s="139">
        <v>0</v>
      </c>
      <c r="R242" s="139">
        <v>0</v>
      </c>
      <c r="S242" s="139">
        <v>0</v>
      </c>
      <c r="T242" s="139">
        <v>0</v>
      </c>
      <c r="U242" s="139">
        <v>0</v>
      </c>
      <c r="V242" s="139">
        <v>0</v>
      </c>
      <c r="W242" s="139">
        <v>0</v>
      </c>
      <c r="X242" s="139">
        <v>0</v>
      </c>
      <c r="Y242" s="139">
        <v>0</v>
      </c>
      <c r="Z242" s="139">
        <v>0</v>
      </c>
      <c r="AA242" s="139">
        <v>0</v>
      </c>
      <c r="AB242" s="139">
        <v>0</v>
      </c>
      <c r="AC242" s="139">
        <v>0</v>
      </c>
      <c r="AD242" s="139">
        <v>0</v>
      </c>
      <c r="AE242" s="139">
        <v>0</v>
      </c>
      <c r="AF242" s="139">
        <v>0</v>
      </c>
      <c r="AG242" s="139">
        <v>0</v>
      </c>
      <c r="AH242" s="139">
        <v>0</v>
      </c>
      <c r="AI242" s="139">
        <v>0</v>
      </c>
      <c r="AJ242" s="139">
        <v>0</v>
      </c>
      <c r="AK242" s="139">
        <v>10800</v>
      </c>
      <c r="AL242" s="139">
        <v>10800</v>
      </c>
      <c r="AM242" s="139">
        <v>10800</v>
      </c>
      <c r="AN242" s="139">
        <v>10800</v>
      </c>
      <c r="AO242" s="139">
        <v>10800</v>
      </c>
      <c r="AP242" s="139">
        <v>10800</v>
      </c>
      <c r="AQ242" s="139">
        <v>10800</v>
      </c>
      <c r="AR242" s="139">
        <v>10800</v>
      </c>
      <c r="AS242" s="139">
        <v>10800</v>
      </c>
      <c r="AT242" s="139">
        <v>10800</v>
      </c>
      <c r="AU242" s="139">
        <v>10800</v>
      </c>
      <c r="AV242" s="140"/>
    </row>
    <row r="243" spans="2:48" ht="15.75" customHeight="1" x14ac:dyDescent="0.2">
      <c r="B243" s="136" t="s">
        <v>224</v>
      </c>
      <c r="C243" s="137">
        <v>0</v>
      </c>
      <c r="D243" s="138">
        <v>0</v>
      </c>
      <c r="E243" s="139">
        <v>0</v>
      </c>
      <c r="F243" s="139">
        <v>0</v>
      </c>
      <c r="G243" s="139">
        <v>0</v>
      </c>
      <c r="H243" s="139">
        <v>0</v>
      </c>
      <c r="I243" s="139">
        <v>0</v>
      </c>
      <c r="J243" s="139">
        <v>0</v>
      </c>
      <c r="K243" s="139">
        <v>0</v>
      </c>
      <c r="L243" s="139">
        <v>0</v>
      </c>
      <c r="M243" s="139">
        <v>0</v>
      </c>
      <c r="N243" s="139">
        <v>0</v>
      </c>
      <c r="O243" s="139">
        <v>0</v>
      </c>
      <c r="P243" s="139">
        <v>0</v>
      </c>
      <c r="Q243" s="139">
        <v>0</v>
      </c>
      <c r="R243" s="139">
        <v>0</v>
      </c>
      <c r="S243" s="139">
        <v>0</v>
      </c>
      <c r="T243" s="139">
        <v>0</v>
      </c>
      <c r="U243" s="139">
        <v>0</v>
      </c>
      <c r="V243" s="139">
        <v>0</v>
      </c>
      <c r="W243" s="139">
        <v>0</v>
      </c>
      <c r="X243" s="139">
        <v>0</v>
      </c>
      <c r="Y243" s="139">
        <v>0</v>
      </c>
      <c r="Z243" s="139">
        <v>0</v>
      </c>
      <c r="AA243" s="139">
        <v>0</v>
      </c>
      <c r="AB243" s="139">
        <v>0</v>
      </c>
      <c r="AC243" s="139">
        <v>0</v>
      </c>
      <c r="AD243" s="139">
        <v>0</v>
      </c>
      <c r="AE243" s="139">
        <v>0</v>
      </c>
      <c r="AF243" s="139">
        <v>0</v>
      </c>
      <c r="AG243" s="139">
        <v>0</v>
      </c>
      <c r="AH243" s="139">
        <v>0</v>
      </c>
      <c r="AI243" s="139">
        <v>0</v>
      </c>
      <c r="AJ243" s="139">
        <v>0</v>
      </c>
      <c r="AK243" s="139">
        <v>13932</v>
      </c>
      <c r="AL243" s="139">
        <v>13932</v>
      </c>
      <c r="AM243" s="139">
        <v>13932</v>
      </c>
      <c r="AN243" s="139">
        <v>13932</v>
      </c>
      <c r="AO243" s="139">
        <v>13932</v>
      </c>
      <c r="AP243" s="139">
        <v>13932</v>
      </c>
      <c r="AQ243" s="139">
        <v>13932</v>
      </c>
      <c r="AR243" s="139">
        <v>13932</v>
      </c>
      <c r="AS243" s="139">
        <v>13932</v>
      </c>
      <c r="AT243" s="139">
        <v>13932</v>
      </c>
      <c r="AU243" s="139">
        <v>13932</v>
      </c>
      <c r="AV243" s="140"/>
    </row>
    <row r="244" spans="2:48" ht="15.75" customHeight="1" x14ac:dyDescent="0.2">
      <c r="B244" s="136" t="s">
        <v>225</v>
      </c>
      <c r="C244" s="137">
        <v>0</v>
      </c>
      <c r="D244" s="138">
        <v>0</v>
      </c>
      <c r="E244" s="139">
        <v>0</v>
      </c>
      <c r="F244" s="139">
        <v>0</v>
      </c>
      <c r="G244" s="139">
        <v>0</v>
      </c>
      <c r="H244" s="139">
        <v>0</v>
      </c>
      <c r="I244" s="139">
        <v>0</v>
      </c>
      <c r="J244" s="139">
        <v>0</v>
      </c>
      <c r="K244" s="139">
        <v>0</v>
      </c>
      <c r="L244" s="139">
        <v>0</v>
      </c>
      <c r="M244" s="139">
        <v>0</v>
      </c>
      <c r="N244" s="139">
        <v>0</v>
      </c>
      <c r="O244" s="139">
        <v>0</v>
      </c>
      <c r="P244" s="139">
        <v>0</v>
      </c>
      <c r="Q244" s="139">
        <v>0</v>
      </c>
      <c r="R244" s="139">
        <v>0</v>
      </c>
      <c r="S244" s="139">
        <v>0</v>
      </c>
      <c r="T244" s="139">
        <v>0</v>
      </c>
      <c r="U244" s="139">
        <v>0</v>
      </c>
      <c r="V244" s="139">
        <v>0</v>
      </c>
      <c r="W244" s="139">
        <v>0</v>
      </c>
      <c r="X244" s="139">
        <v>0</v>
      </c>
      <c r="Y244" s="139">
        <v>0</v>
      </c>
      <c r="Z244" s="139">
        <v>0</v>
      </c>
      <c r="AA244" s="139">
        <v>0</v>
      </c>
      <c r="AB244" s="139">
        <v>0</v>
      </c>
      <c r="AC244" s="139">
        <v>0</v>
      </c>
      <c r="AD244" s="139">
        <v>0</v>
      </c>
      <c r="AE244" s="139">
        <v>0</v>
      </c>
      <c r="AF244" s="139">
        <v>0</v>
      </c>
      <c r="AG244" s="139">
        <v>0</v>
      </c>
      <c r="AH244" s="139">
        <v>0</v>
      </c>
      <c r="AI244" s="139">
        <v>0</v>
      </c>
      <c r="AJ244" s="139">
        <v>0</v>
      </c>
      <c r="AK244" s="139">
        <v>9600</v>
      </c>
      <c r="AL244" s="139">
        <v>9600</v>
      </c>
      <c r="AM244" s="139">
        <v>9600</v>
      </c>
      <c r="AN244" s="139">
        <v>9600</v>
      </c>
      <c r="AO244" s="139">
        <v>9600</v>
      </c>
      <c r="AP244" s="139">
        <v>9600</v>
      </c>
      <c r="AQ244" s="139">
        <v>9600</v>
      </c>
      <c r="AR244" s="139">
        <v>9600</v>
      </c>
      <c r="AS244" s="139">
        <v>9600</v>
      </c>
      <c r="AT244" s="139">
        <v>9600</v>
      </c>
      <c r="AU244" s="139">
        <v>9600</v>
      </c>
      <c r="AV244" s="140"/>
    </row>
    <row r="245" spans="2:48" ht="15.75" customHeight="1" x14ac:dyDescent="0.2">
      <c r="B245" s="136" t="s">
        <v>226</v>
      </c>
      <c r="C245" s="137">
        <v>0</v>
      </c>
      <c r="D245" s="138">
        <v>0</v>
      </c>
      <c r="E245" s="139">
        <v>0</v>
      </c>
      <c r="F245" s="139">
        <v>0</v>
      </c>
      <c r="G245" s="139">
        <v>0</v>
      </c>
      <c r="H245" s="139">
        <v>0</v>
      </c>
      <c r="I245" s="139">
        <v>0</v>
      </c>
      <c r="J245" s="139">
        <v>0</v>
      </c>
      <c r="K245" s="139">
        <v>0</v>
      </c>
      <c r="L245" s="139">
        <v>0</v>
      </c>
      <c r="M245" s="139">
        <v>0</v>
      </c>
      <c r="N245" s="139">
        <v>0</v>
      </c>
      <c r="O245" s="139">
        <v>0</v>
      </c>
      <c r="P245" s="139">
        <v>0</v>
      </c>
      <c r="Q245" s="139">
        <v>0</v>
      </c>
      <c r="R245" s="139">
        <v>0</v>
      </c>
      <c r="S245" s="139">
        <v>0</v>
      </c>
      <c r="T245" s="139">
        <v>0</v>
      </c>
      <c r="U245" s="139">
        <v>0</v>
      </c>
      <c r="V245" s="139">
        <v>0</v>
      </c>
      <c r="W245" s="139">
        <v>0</v>
      </c>
      <c r="X245" s="139">
        <v>0</v>
      </c>
      <c r="Y245" s="139">
        <v>0</v>
      </c>
      <c r="Z245" s="139">
        <v>0</v>
      </c>
      <c r="AA245" s="139">
        <v>0</v>
      </c>
      <c r="AB245" s="139">
        <v>0</v>
      </c>
      <c r="AC245" s="139">
        <v>0</v>
      </c>
      <c r="AD245" s="139">
        <v>0</v>
      </c>
      <c r="AE245" s="139">
        <v>0</v>
      </c>
      <c r="AF245" s="139">
        <v>0</v>
      </c>
      <c r="AG245" s="139">
        <v>0</v>
      </c>
      <c r="AH245" s="139">
        <v>0</v>
      </c>
      <c r="AI245" s="139">
        <v>0</v>
      </c>
      <c r="AJ245" s="139">
        <v>0</v>
      </c>
      <c r="AK245" s="139">
        <v>8400</v>
      </c>
      <c r="AL245" s="139">
        <v>8400</v>
      </c>
      <c r="AM245" s="139">
        <v>8400</v>
      </c>
      <c r="AN245" s="139">
        <v>8400</v>
      </c>
      <c r="AO245" s="139">
        <v>8400</v>
      </c>
      <c r="AP245" s="139">
        <v>8400</v>
      </c>
      <c r="AQ245" s="139">
        <v>8400</v>
      </c>
      <c r="AR245" s="139">
        <v>8400</v>
      </c>
      <c r="AS245" s="139">
        <v>8400</v>
      </c>
      <c r="AT245" s="139">
        <v>8400</v>
      </c>
      <c r="AU245" s="139">
        <v>8400</v>
      </c>
      <c r="AV245" s="140"/>
    </row>
    <row r="246" spans="2:48" ht="15.75" customHeight="1" x14ac:dyDescent="0.2">
      <c r="B246" s="136" t="s">
        <v>227</v>
      </c>
      <c r="C246" s="137">
        <v>0</v>
      </c>
      <c r="D246" s="138">
        <v>0</v>
      </c>
      <c r="E246" s="139">
        <v>0</v>
      </c>
      <c r="F246" s="139">
        <v>0</v>
      </c>
      <c r="G246" s="139">
        <v>0</v>
      </c>
      <c r="H246" s="139">
        <v>0</v>
      </c>
      <c r="I246" s="139">
        <v>0</v>
      </c>
      <c r="J246" s="139">
        <v>0</v>
      </c>
      <c r="K246" s="139">
        <v>0</v>
      </c>
      <c r="L246" s="139">
        <v>0</v>
      </c>
      <c r="M246" s="139">
        <v>0</v>
      </c>
      <c r="N246" s="139">
        <v>0</v>
      </c>
      <c r="O246" s="139">
        <v>0</v>
      </c>
      <c r="P246" s="139">
        <v>0</v>
      </c>
      <c r="Q246" s="139">
        <v>0</v>
      </c>
      <c r="R246" s="139">
        <v>0</v>
      </c>
      <c r="S246" s="139">
        <v>0</v>
      </c>
      <c r="T246" s="139">
        <v>0</v>
      </c>
      <c r="U246" s="139">
        <v>0</v>
      </c>
      <c r="V246" s="139">
        <v>0</v>
      </c>
      <c r="W246" s="139">
        <v>0</v>
      </c>
      <c r="X246" s="139">
        <v>0</v>
      </c>
      <c r="Y246" s="139">
        <v>0</v>
      </c>
      <c r="Z246" s="139">
        <v>0</v>
      </c>
      <c r="AA246" s="139">
        <v>0</v>
      </c>
      <c r="AB246" s="139">
        <v>0</v>
      </c>
      <c r="AC246" s="139">
        <v>0</v>
      </c>
      <c r="AD246" s="139">
        <v>0</v>
      </c>
      <c r="AE246" s="139">
        <v>0</v>
      </c>
      <c r="AF246" s="139">
        <v>0</v>
      </c>
      <c r="AG246" s="139">
        <v>0</v>
      </c>
      <c r="AH246" s="139">
        <v>0</v>
      </c>
      <c r="AI246" s="139">
        <v>0</v>
      </c>
      <c r="AJ246" s="139">
        <v>0</v>
      </c>
      <c r="AK246" s="139">
        <v>15957</v>
      </c>
      <c r="AL246" s="139">
        <v>15957</v>
      </c>
      <c r="AM246" s="139">
        <v>15957</v>
      </c>
      <c r="AN246" s="139">
        <v>15957</v>
      </c>
      <c r="AO246" s="139">
        <v>15957</v>
      </c>
      <c r="AP246" s="139">
        <v>15957</v>
      </c>
      <c r="AQ246" s="139">
        <v>15957</v>
      </c>
      <c r="AR246" s="139">
        <v>15957</v>
      </c>
      <c r="AS246" s="139">
        <v>15957</v>
      </c>
      <c r="AT246" s="139">
        <v>15957</v>
      </c>
      <c r="AU246" s="139">
        <v>15957</v>
      </c>
      <c r="AV246" s="140"/>
    </row>
    <row r="247" spans="2:48" ht="15.75" customHeight="1" x14ac:dyDescent="0.2">
      <c r="B247" s="136" t="s">
        <v>228</v>
      </c>
      <c r="C247" s="137">
        <v>0</v>
      </c>
      <c r="D247" s="138">
        <v>0</v>
      </c>
      <c r="E247" s="139">
        <v>0</v>
      </c>
      <c r="F247" s="139">
        <v>0</v>
      </c>
      <c r="G247" s="139">
        <v>0</v>
      </c>
      <c r="H247" s="139">
        <v>0</v>
      </c>
      <c r="I247" s="139">
        <v>0</v>
      </c>
      <c r="J247" s="139">
        <v>0</v>
      </c>
      <c r="K247" s="139">
        <v>0</v>
      </c>
      <c r="L247" s="139">
        <v>0</v>
      </c>
      <c r="M247" s="139">
        <v>0</v>
      </c>
      <c r="N247" s="139">
        <v>0</v>
      </c>
      <c r="O247" s="139">
        <v>0</v>
      </c>
      <c r="P247" s="139">
        <v>0</v>
      </c>
      <c r="Q247" s="139">
        <v>0</v>
      </c>
      <c r="R247" s="139">
        <v>0</v>
      </c>
      <c r="S247" s="139">
        <v>0</v>
      </c>
      <c r="T247" s="139">
        <v>0</v>
      </c>
      <c r="U247" s="139">
        <v>0</v>
      </c>
      <c r="V247" s="139">
        <v>0</v>
      </c>
      <c r="W247" s="139">
        <v>0</v>
      </c>
      <c r="X247" s="139">
        <v>0</v>
      </c>
      <c r="Y247" s="139">
        <v>0</v>
      </c>
      <c r="Z247" s="139">
        <v>0</v>
      </c>
      <c r="AA247" s="139">
        <v>0</v>
      </c>
      <c r="AB247" s="139">
        <v>0</v>
      </c>
      <c r="AC247" s="139">
        <v>0</v>
      </c>
      <c r="AD247" s="139">
        <v>0</v>
      </c>
      <c r="AE247" s="139">
        <v>0</v>
      </c>
      <c r="AF247" s="139">
        <v>0</v>
      </c>
      <c r="AG247" s="139">
        <v>0</v>
      </c>
      <c r="AH247" s="139">
        <v>0</v>
      </c>
      <c r="AI247" s="139">
        <v>0</v>
      </c>
      <c r="AJ247" s="139">
        <v>0</v>
      </c>
      <c r="AK247" s="139">
        <v>9600</v>
      </c>
      <c r="AL247" s="139">
        <v>9600</v>
      </c>
      <c r="AM247" s="139">
        <v>9600</v>
      </c>
      <c r="AN247" s="139">
        <v>9600</v>
      </c>
      <c r="AO247" s="139">
        <v>9600</v>
      </c>
      <c r="AP247" s="139">
        <v>9600</v>
      </c>
      <c r="AQ247" s="139">
        <v>9600</v>
      </c>
      <c r="AR247" s="139">
        <v>9600</v>
      </c>
      <c r="AS247" s="139">
        <v>9600</v>
      </c>
      <c r="AT247" s="139">
        <v>9600</v>
      </c>
      <c r="AU247" s="139">
        <v>9600</v>
      </c>
      <c r="AV247" s="140"/>
    </row>
    <row r="248" spans="2:48" ht="15.75" customHeight="1" x14ac:dyDescent="0.2">
      <c r="B248" s="136" t="s">
        <v>229</v>
      </c>
      <c r="C248" s="137">
        <v>0</v>
      </c>
      <c r="D248" s="138">
        <v>0</v>
      </c>
      <c r="E248" s="139">
        <v>0</v>
      </c>
      <c r="F248" s="139">
        <v>0</v>
      </c>
      <c r="G248" s="139">
        <v>0</v>
      </c>
      <c r="H248" s="139">
        <v>0</v>
      </c>
      <c r="I248" s="139">
        <v>0</v>
      </c>
      <c r="J248" s="139">
        <v>0</v>
      </c>
      <c r="K248" s="139">
        <v>0</v>
      </c>
      <c r="L248" s="139">
        <v>0</v>
      </c>
      <c r="M248" s="139">
        <v>0</v>
      </c>
      <c r="N248" s="139">
        <v>0</v>
      </c>
      <c r="O248" s="139">
        <v>0</v>
      </c>
      <c r="P248" s="139">
        <v>0</v>
      </c>
      <c r="Q248" s="139">
        <v>0</v>
      </c>
      <c r="R248" s="139">
        <v>0</v>
      </c>
      <c r="S248" s="139">
        <v>0</v>
      </c>
      <c r="T248" s="139">
        <v>0</v>
      </c>
      <c r="U248" s="139">
        <v>0</v>
      </c>
      <c r="V248" s="139">
        <v>0</v>
      </c>
      <c r="W248" s="139">
        <v>0</v>
      </c>
      <c r="X248" s="139">
        <v>0</v>
      </c>
      <c r="Y248" s="139">
        <v>0</v>
      </c>
      <c r="Z248" s="139">
        <v>0</v>
      </c>
      <c r="AA248" s="139">
        <v>0</v>
      </c>
      <c r="AB248" s="139">
        <v>0</v>
      </c>
      <c r="AC248" s="139">
        <v>0</v>
      </c>
      <c r="AD248" s="139">
        <v>0</v>
      </c>
      <c r="AE248" s="139">
        <v>0</v>
      </c>
      <c r="AF248" s="139">
        <v>0</v>
      </c>
      <c r="AG248" s="139">
        <v>0</v>
      </c>
      <c r="AH248" s="139">
        <v>0</v>
      </c>
      <c r="AI248" s="139">
        <v>0</v>
      </c>
      <c r="AJ248" s="139">
        <v>0</v>
      </c>
      <c r="AK248" s="139">
        <v>21200</v>
      </c>
      <c r="AL248" s="139">
        <v>21200</v>
      </c>
      <c r="AM248" s="139">
        <v>21200</v>
      </c>
      <c r="AN248" s="139">
        <v>21200</v>
      </c>
      <c r="AO248" s="139">
        <v>21200</v>
      </c>
      <c r="AP248" s="139">
        <v>0</v>
      </c>
      <c r="AQ248" s="139">
        <v>0</v>
      </c>
      <c r="AR248" s="139">
        <v>21200</v>
      </c>
      <c r="AS248" s="139">
        <v>21200</v>
      </c>
      <c r="AT248" s="139">
        <v>21200</v>
      </c>
      <c r="AU248" s="139">
        <v>21200</v>
      </c>
      <c r="AV248" s="140"/>
    </row>
    <row r="249" spans="2:48" ht="15.75" customHeight="1" x14ac:dyDescent="0.2">
      <c r="B249" s="136" t="s">
        <v>230</v>
      </c>
      <c r="C249" s="137">
        <v>0</v>
      </c>
      <c r="D249" s="138">
        <v>0</v>
      </c>
      <c r="E249" s="139">
        <v>0</v>
      </c>
      <c r="F249" s="139">
        <v>0</v>
      </c>
      <c r="G249" s="139">
        <v>0</v>
      </c>
      <c r="H249" s="139">
        <v>0</v>
      </c>
      <c r="I249" s="139">
        <v>0</v>
      </c>
      <c r="J249" s="139">
        <v>0</v>
      </c>
      <c r="K249" s="139">
        <v>0</v>
      </c>
      <c r="L249" s="139">
        <v>0</v>
      </c>
      <c r="M249" s="139">
        <v>0</v>
      </c>
      <c r="N249" s="139">
        <v>0</v>
      </c>
      <c r="O249" s="139">
        <v>0</v>
      </c>
      <c r="P249" s="139">
        <v>0</v>
      </c>
      <c r="Q249" s="139">
        <v>0</v>
      </c>
      <c r="R249" s="139">
        <v>0</v>
      </c>
      <c r="S249" s="139">
        <v>0</v>
      </c>
      <c r="T249" s="139">
        <v>0</v>
      </c>
      <c r="U249" s="139">
        <v>0</v>
      </c>
      <c r="V249" s="139">
        <v>0</v>
      </c>
      <c r="W249" s="139">
        <v>0</v>
      </c>
      <c r="X249" s="139">
        <v>0</v>
      </c>
      <c r="Y249" s="139">
        <v>0</v>
      </c>
      <c r="Z249" s="139">
        <v>0</v>
      </c>
      <c r="AA249" s="139">
        <v>0</v>
      </c>
      <c r="AB249" s="139">
        <v>0</v>
      </c>
      <c r="AC249" s="139">
        <v>0</v>
      </c>
      <c r="AD249" s="139">
        <v>0</v>
      </c>
      <c r="AE249" s="139">
        <v>0</v>
      </c>
      <c r="AF249" s="139">
        <v>0</v>
      </c>
      <c r="AG249" s="139">
        <v>0</v>
      </c>
      <c r="AH249" s="139">
        <v>0</v>
      </c>
      <c r="AI249" s="139">
        <v>0</v>
      </c>
      <c r="AJ249" s="139">
        <v>0</v>
      </c>
      <c r="AK249" s="139">
        <v>42606</v>
      </c>
      <c r="AL249" s="139">
        <v>42606</v>
      </c>
      <c r="AM249" s="139">
        <v>42606</v>
      </c>
      <c r="AN249" s="139">
        <v>42606</v>
      </c>
      <c r="AO249" s="139">
        <v>42606</v>
      </c>
      <c r="AP249" s="139">
        <v>42606</v>
      </c>
      <c r="AQ249" s="139">
        <v>42606</v>
      </c>
      <c r="AR249" s="139">
        <v>42606</v>
      </c>
      <c r="AS249" s="139">
        <v>42606</v>
      </c>
      <c r="AT249" s="139">
        <v>42606</v>
      </c>
      <c r="AU249" s="139">
        <v>42606</v>
      </c>
      <c r="AV249" s="140"/>
    </row>
    <row r="250" spans="2:48" ht="15.75" customHeight="1" x14ac:dyDescent="0.2">
      <c r="B250" s="136" t="s">
        <v>231</v>
      </c>
      <c r="C250" s="137">
        <v>0</v>
      </c>
      <c r="D250" s="138">
        <v>0</v>
      </c>
      <c r="E250" s="139">
        <v>0</v>
      </c>
      <c r="F250" s="139">
        <v>0</v>
      </c>
      <c r="G250" s="139">
        <v>0</v>
      </c>
      <c r="H250" s="139">
        <v>0</v>
      </c>
      <c r="I250" s="139">
        <v>0</v>
      </c>
      <c r="J250" s="139">
        <v>0</v>
      </c>
      <c r="K250" s="139">
        <v>0</v>
      </c>
      <c r="L250" s="139">
        <v>0</v>
      </c>
      <c r="M250" s="139">
        <v>0</v>
      </c>
      <c r="N250" s="139">
        <v>0</v>
      </c>
      <c r="O250" s="139">
        <v>0</v>
      </c>
      <c r="P250" s="139">
        <v>0</v>
      </c>
      <c r="Q250" s="139">
        <v>0</v>
      </c>
      <c r="R250" s="139">
        <v>0</v>
      </c>
      <c r="S250" s="139">
        <v>0</v>
      </c>
      <c r="T250" s="139">
        <v>0</v>
      </c>
      <c r="U250" s="139">
        <v>0</v>
      </c>
      <c r="V250" s="139">
        <v>0</v>
      </c>
      <c r="W250" s="139">
        <v>0</v>
      </c>
      <c r="X250" s="139">
        <v>0</v>
      </c>
      <c r="Y250" s="139">
        <v>0</v>
      </c>
      <c r="Z250" s="139">
        <v>0</v>
      </c>
      <c r="AA250" s="139">
        <v>0</v>
      </c>
      <c r="AB250" s="139">
        <v>0</v>
      </c>
      <c r="AC250" s="139">
        <v>0</v>
      </c>
      <c r="AD250" s="139">
        <v>0</v>
      </c>
      <c r="AE250" s="139">
        <v>0</v>
      </c>
      <c r="AF250" s="139">
        <v>0</v>
      </c>
      <c r="AG250" s="139">
        <v>0</v>
      </c>
      <c r="AH250" s="139">
        <v>0</v>
      </c>
      <c r="AI250" s="139">
        <v>0</v>
      </c>
      <c r="AJ250" s="139">
        <v>0</v>
      </c>
      <c r="AK250" s="139">
        <v>49248</v>
      </c>
      <c r="AL250" s="139">
        <v>49248</v>
      </c>
      <c r="AM250" s="139">
        <v>49248</v>
      </c>
      <c r="AN250" s="139">
        <v>49248</v>
      </c>
      <c r="AO250" s="139">
        <v>49248</v>
      </c>
      <c r="AP250" s="139">
        <v>49248</v>
      </c>
      <c r="AQ250" s="139">
        <v>49248</v>
      </c>
      <c r="AR250" s="139">
        <v>49248</v>
      </c>
      <c r="AS250" s="139">
        <v>49248</v>
      </c>
      <c r="AT250" s="139">
        <v>49248</v>
      </c>
      <c r="AU250" s="139">
        <v>49248</v>
      </c>
      <c r="AV250" s="140"/>
    </row>
    <row r="251" spans="2:48" ht="15.75" customHeight="1" x14ac:dyDescent="0.2">
      <c r="B251" s="136" t="s">
        <v>232</v>
      </c>
      <c r="C251" s="137">
        <v>0</v>
      </c>
      <c r="D251" s="138">
        <v>0</v>
      </c>
      <c r="E251" s="139">
        <v>0</v>
      </c>
      <c r="F251" s="139">
        <v>0</v>
      </c>
      <c r="G251" s="139">
        <v>0</v>
      </c>
      <c r="H251" s="139">
        <v>0</v>
      </c>
      <c r="I251" s="139">
        <v>0</v>
      </c>
      <c r="J251" s="139">
        <v>0</v>
      </c>
      <c r="K251" s="139">
        <v>0</v>
      </c>
      <c r="L251" s="139">
        <v>0</v>
      </c>
      <c r="M251" s="139">
        <v>0</v>
      </c>
      <c r="N251" s="139">
        <v>0</v>
      </c>
      <c r="O251" s="139">
        <v>0</v>
      </c>
      <c r="P251" s="139">
        <v>0</v>
      </c>
      <c r="Q251" s="139">
        <v>0</v>
      </c>
      <c r="R251" s="139">
        <v>0</v>
      </c>
      <c r="S251" s="139">
        <v>0</v>
      </c>
      <c r="T251" s="139">
        <v>0</v>
      </c>
      <c r="U251" s="139">
        <v>0</v>
      </c>
      <c r="V251" s="139">
        <v>0</v>
      </c>
      <c r="W251" s="139">
        <v>0</v>
      </c>
      <c r="X251" s="139">
        <v>0</v>
      </c>
      <c r="Y251" s="139">
        <v>0</v>
      </c>
      <c r="Z251" s="139">
        <v>0</v>
      </c>
      <c r="AA251" s="139">
        <v>0</v>
      </c>
      <c r="AB251" s="139">
        <v>0</v>
      </c>
      <c r="AC251" s="139">
        <v>0</v>
      </c>
      <c r="AD251" s="139">
        <v>0</v>
      </c>
      <c r="AE251" s="139">
        <v>0</v>
      </c>
      <c r="AF251" s="139">
        <v>0</v>
      </c>
      <c r="AG251" s="139">
        <v>0</v>
      </c>
      <c r="AH251" s="139">
        <v>0</v>
      </c>
      <c r="AI251" s="139">
        <v>0</v>
      </c>
      <c r="AJ251" s="139">
        <v>0</v>
      </c>
      <c r="AK251" s="139">
        <v>9608</v>
      </c>
      <c r="AL251" s="139">
        <v>9608</v>
      </c>
      <c r="AM251" s="139">
        <v>9608</v>
      </c>
      <c r="AN251" s="139">
        <v>9608</v>
      </c>
      <c r="AO251" s="139">
        <v>9608</v>
      </c>
      <c r="AP251" s="139">
        <v>9608</v>
      </c>
      <c r="AQ251" s="139">
        <v>9608</v>
      </c>
      <c r="AR251" s="139">
        <v>9608</v>
      </c>
      <c r="AS251" s="139">
        <v>9608</v>
      </c>
      <c r="AT251" s="139">
        <v>9608</v>
      </c>
      <c r="AU251" s="139">
        <v>9608</v>
      </c>
      <c r="AV251" s="140"/>
    </row>
    <row r="252" spans="2:48" ht="15.75" customHeight="1" x14ac:dyDescent="0.2">
      <c r="B252" s="136" t="s">
        <v>233</v>
      </c>
      <c r="C252" s="137">
        <v>0</v>
      </c>
      <c r="D252" s="138">
        <v>0</v>
      </c>
      <c r="E252" s="139">
        <v>0</v>
      </c>
      <c r="F252" s="139">
        <v>0</v>
      </c>
      <c r="G252" s="139">
        <v>0</v>
      </c>
      <c r="H252" s="139">
        <v>0</v>
      </c>
      <c r="I252" s="139">
        <v>0</v>
      </c>
      <c r="J252" s="139">
        <v>0</v>
      </c>
      <c r="K252" s="139">
        <v>0</v>
      </c>
      <c r="L252" s="139">
        <v>0</v>
      </c>
      <c r="M252" s="139">
        <v>0</v>
      </c>
      <c r="N252" s="139">
        <v>0</v>
      </c>
      <c r="O252" s="139">
        <v>0</v>
      </c>
      <c r="P252" s="139">
        <v>0</v>
      </c>
      <c r="Q252" s="139">
        <v>0</v>
      </c>
      <c r="R252" s="139">
        <v>0</v>
      </c>
      <c r="S252" s="139">
        <v>0</v>
      </c>
      <c r="T252" s="139">
        <v>0</v>
      </c>
      <c r="U252" s="139">
        <v>0</v>
      </c>
      <c r="V252" s="139">
        <v>0</v>
      </c>
      <c r="W252" s="139">
        <v>0</v>
      </c>
      <c r="X252" s="139">
        <v>0</v>
      </c>
      <c r="Y252" s="139">
        <v>0</v>
      </c>
      <c r="Z252" s="139">
        <v>0</v>
      </c>
      <c r="AA252" s="139">
        <v>0</v>
      </c>
      <c r="AB252" s="139">
        <v>0</v>
      </c>
      <c r="AC252" s="139">
        <v>0</v>
      </c>
      <c r="AD252" s="139">
        <v>0</v>
      </c>
      <c r="AE252" s="139">
        <v>0</v>
      </c>
      <c r="AF252" s="139">
        <v>0</v>
      </c>
      <c r="AG252" s="139">
        <v>0</v>
      </c>
      <c r="AH252" s="139">
        <v>0</v>
      </c>
      <c r="AI252" s="139">
        <v>0</v>
      </c>
      <c r="AJ252" s="139">
        <v>0</v>
      </c>
      <c r="AK252" s="139">
        <v>11016</v>
      </c>
      <c r="AL252" s="139">
        <v>11016</v>
      </c>
      <c r="AM252" s="139">
        <v>11016</v>
      </c>
      <c r="AN252" s="139">
        <v>11016</v>
      </c>
      <c r="AO252" s="139">
        <v>11016</v>
      </c>
      <c r="AP252" s="139">
        <v>11016</v>
      </c>
      <c r="AQ252" s="139">
        <v>11016</v>
      </c>
      <c r="AR252" s="139">
        <v>11016</v>
      </c>
      <c r="AS252" s="139">
        <v>11016</v>
      </c>
      <c r="AT252" s="139">
        <v>11016</v>
      </c>
      <c r="AU252" s="139">
        <v>11016</v>
      </c>
      <c r="AV252" s="140"/>
    </row>
    <row r="253" spans="2:48" ht="15.75" customHeight="1" x14ac:dyDescent="0.2">
      <c r="B253" s="136" t="s">
        <v>234</v>
      </c>
      <c r="C253" s="137">
        <v>0</v>
      </c>
      <c r="D253" s="138">
        <v>0</v>
      </c>
      <c r="E253" s="139">
        <v>0</v>
      </c>
      <c r="F253" s="139">
        <v>0</v>
      </c>
      <c r="G253" s="139">
        <v>0</v>
      </c>
      <c r="H253" s="139">
        <v>0</v>
      </c>
      <c r="I253" s="139">
        <v>0</v>
      </c>
      <c r="J253" s="139">
        <v>0</v>
      </c>
      <c r="K253" s="139">
        <v>0</v>
      </c>
      <c r="L253" s="139">
        <v>0</v>
      </c>
      <c r="M253" s="139">
        <v>0</v>
      </c>
      <c r="N253" s="139">
        <v>0</v>
      </c>
      <c r="O253" s="139">
        <v>0</v>
      </c>
      <c r="P253" s="139">
        <v>0</v>
      </c>
      <c r="Q253" s="139">
        <v>0</v>
      </c>
      <c r="R253" s="139">
        <v>0</v>
      </c>
      <c r="S253" s="139">
        <v>0</v>
      </c>
      <c r="T253" s="139">
        <v>0</v>
      </c>
      <c r="U253" s="139">
        <v>0</v>
      </c>
      <c r="V253" s="139">
        <v>0</v>
      </c>
      <c r="W253" s="139">
        <v>0</v>
      </c>
      <c r="X253" s="139">
        <v>0</v>
      </c>
      <c r="Y253" s="139">
        <v>0</v>
      </c>
      <c r="Z253" s="139">
        <v>0</v>
      </c>
      <c r="AA253" s="139">
        <v>0</v>
      </c>
      <c r="AB253" s="139">
        <v>0</v>
      </c>
      <c r="AC253" s="139">
        <v>0</v>
      </c>
      <c r="AD253" s="139">
        <v>0</v>
      </c>
      <c r="AE253" s="139">
        <v>0</v>
      </c>
      <c r="AF253" s="139">
        <v>0</v>
      </c>
      <c r="AG253" s="139">
        <v>0</v>
      </c>
      <c r="AH253" s="139">
        <v>0</v>
      </c>
      <c r="AI253" s="139">
        <v>0</v>
      </c>
      <c r="AJ253" s="139">
        <v>0</v>
      </c>
      <c r="AK253" s="139">
        <v>9600</v>
      </c>
      <c r="AL253" s="139">
        <v>9600</v>
      </c>
      <c r="AM253" s="139">
        <v>9600</v>
      </c>
      <c r="AN253" s="139">
        <v>9600</v>
      </c>
      <c r="AO253" s="139">
        <v>9600</v>
      </c>
      <c r="AP253" s="139">
        <v>9600</v>
      </c>
      <c r="AQ253" s="139">
        <v>9600</v>
      </c>
      <c r="AR253" s="139">
        <v>9600</v>
      </c>
      <c r="AS253" s="139">
        <v>9600</v>
      </c>
      <c r="AT253" s="139">
        <v>9600</v>
      </c>
      <c r="AU253" s="139">
        <v>9600</v>
      </c>
      <c r="AV253" s="140"/>
    </row>
    <row r="254" spans="2:48" ht="15.75" customHeight="1" x14ac:dyDescent="0.2">
      <c r="B254" s="136" t="s">
        <v>235</v>
      </c>
      <c r="C254" s="137">
        <v>0</v>
      </c>
      <c r="D254" s="138">
        <v>0</v>
      </c>
      <c r="E254" s="139">
        <v>0</v>
      </c>
      <c r="F254" s="139">
        <v>0</v>
      </c>
      <c r="G254" s="139">
        <v>0</v>
      </c>
      <c r="H254" s="139">
        <v>0</v>
      </c>
      <c r="I254" s="139">
        <v>0</v>
      </c>
      <c r="J254" s="139">
        <v>0</v>
      </c>
      <c r="K254" s="139">
        <v>0</v>
      </c>
      <c r="L254" s="139">
        <v>0</v>
      </c>
      <c r="M254" s="139">
        <v>0</v>
      </c>
      <c r="N254" s="139">
        <v>0</v>
      </c>
      <c r="O254" s="139">
        <v>0</v>
      </c>
      <c r="P254" s="139">
        <v>0</v>
      </c>
      <c r="Q254" s="139">
        <v>0</v>
      </c>
      <c r="R254" s="139">
        <v>0</v>
      </c>
      <c r="S254" s="139">
        <v>0</v>
      </c>
      <c r="T254" s="139">
        <v>0</v>
      </c>
      <c r="U254" s="139">
        <v>0</v>
      </c>
      <c r="V254" s="139">
        <v>0</v>
      </c>
      <c r="W254" s="139">
        <v>0</v>
      </c>
      <c r="X254" s="139">
        <v>0</v>
      </c>
      <c r="Y254" s="139">
        <v>0</v>
      </c>
      <c r="Z254" s="139">
        <v>0</v>
      </c>
      <c r="AA254" s="139">
        <v>0</v>
      </c>
      <c r="AB254" s="139">
        <v>0</v>
      </c>
      <c r="AC254" s="139">
        <v>0</v>
      </c>
      <c r="AD254" s="139">
        <v>0</v>
      </c>
      <c r="AE254" s="139">
        <v>0</v>
      </c>
      <c r="AF254" s="139">
        <v>0</v>
      </c>
      <c r="AG254" s="139">
        <v>0</v>
      </c>
      <c r="AH254" s="139">
        <v>0</v>
      </c>
      <c r="AI254" s="139">
        <v>0</v>
      </c>
      <c r="AJ254" s="139">
        <v>0</v>
      </c>
      <c r="AK254" s="139">
        <v>0</v>
      </c>
      <c r="AL254" s="139">
        <v>21600</v>
      </c>
      <c r="AM254" s="139">
        <v>21600</v>
      </c>
      <c r="AN254" s="139">
        <v>21600</v>
      </c>
      <c r="AO254" s="139">
        <v>21600</v>
      </c>
      <c r="AP254" s="139">
        <v>21600</v>
      </c>
      <c r="AQ254" s="139">
        <v>21600</v>
      </c>
      <c r="AR254" s="139">
        <v>21600</v>
      </c>
      <c r="AS254" s="139">
        <v>21600</v>
      </c>
      <c r="AT254" s="139">
        <v>21600</v>
      </c>
      <c r="AU254" s="139">
        <v>21600</v>
      </c>
      <c r="AV254" s="140"/>
    </row>
    <row r="255" spans="2:48" ht="15.75" customHeight="1" x14ac:dyDescent="0.2">
      <c r="B255" s="136" t="s">
        <v>236</v>
      </c>
      <c r="C255" s="137">
        <v>0</v>
      </c>
      <c r="D255" s="138">
        <v>0</v>
      </c>
      <c r="E255" s="139">
        <v>0</v>
      </c>
      <c r="F255" s="139">
        <v>0</v>
      </c>
      <c r="G255" s="139">
        <v>0</v>
      </c>
      <c r="H255" s="139">
        <v>0</v>
      </c>
      <c r="I255" s="139">
        <v>0</v>
      </c>
      <c r="J255" s="139">
        <v>0</v>
      </c>
      <c r="K255" s="139">
        <v>0</v>
      </c>
      <c r="L255" s="139">
        <v>0</v>
      </c>
      <c r="M255" s="139">
        <v>0</v>
      </c>
      <c r="N255" s="139">
        <v>0</v>
      </c>
      <c r="O255" s="139">
        <v>0</v>
      </c>
      <c r="P255" s="139">
        <v>0</v>
      </c>
      <c r="Q255" s="139">
        <v>0</v>
      </c>
      <c r="R255" s="139">
        <v>0</v>
      </c>
      <c r="S255" s="139">
        <v>0</v>
      </c>
      <c r="T255" s="139">
        <v>0</v>
      </c>
      <c r="U255" s="139">
        <v>0</v>
      </c>
      <c r="V255" s="139">
        <v>0</v>
      </c>
      <c r="W255" s="139">
        <v>0</v>
      </c>
      <c r="X255" s="139">
        <v>0</v>
      </c>
      <c r="Y255" s="139">
        <v>0</v>
      </c>
      <c r="Z255" s="139">
        <v>0</v>
      </c>
      <c r="AA255" s="139">
        <v>0</v>
      </c>
      <c r="AB255" s="139">
        <v>0</v>
      </c>
      <c r="AC255" s="139">
        <v>0</v>
      </c>
      <c r="AD255" s="139">
        <v>0</v>
      </c>
      <c r="AE255" s="139">
        <v>0</v>
      </c>
      <c r="AF255" s="139">
        <v>0</v>
      </c>
      <c r="AG255" s="139">
        <v>0</v>
      </c>
      <c r="AH255" s="139">
        <v>0</v>
      </c>
      <c r="AI255" s="139">
        <v>0</v>
      </c>
      <c r="AJ255" s="139">
        <v>0</v>
      </c>
      <c r="AK255" s="139">
        <v>0</v>
      </c>
      <c r="AL255" s="139">
        <v>9600</v>
      </c>
      <c r="AM255" s="139">
        <v>9600</v>
      </c>
      <c r="AN255" s="139">
        <v>9600</v>
      </c>
      <c r="AO255" s="139">
        <v>9600</v>
      </c>
      <c r="AP255" s="139">
        <v>9600</v>
      </c>
      <c r="AQ255" s="139">
        <v>9600</v>
      </c>
      <c r="AR255" s="139">
        <v>9600</v>
      </c>
      <c r="AS255" s="139">
        <v>9600</v>
      </c>
      <c r="AT255" s="139">
        <v>9600</v>
      </c>
      <c r="AU255" s="139">
        <v>9600</v>
      </c>
      <c r="AV255" s="140"/>
    </row>
    <row r="256" spans="2:48" ht="15.75" customHeight="1" x14ac:dyDescent="0.2">
      <c r="B256" s="136" t="s">
        <v>237</v>
      </c>
      <c r="C256" s="137">
        <v>0</v>
      </c>
      <c r="D256" s="138">
        <v>0</v>
      </c>
      <c r="E256" s="139">
        <v>0</v>
      </c>
      <c r="F256" s="139">
        <v>0</v>
      </c>
      <c r="G256" s="139">
        <v>0</v>
      </c>
      <c r="H256" s="139">
        <v>0</v>
      </c>
      <c r="I256" s="139">
        <v>0</v>
      </c>
      <c r="J256" s="139">
        <v>0</v>
      </c>
      <c r="K256" s="139">
        <v>0</v>
      </c>
      <c r="L256" s="139">
        <v>0</v>
      </c>
      <c r="M256" s="139">
        <v>0</v>
      </c>
      <c r="N256" s="139">
        <v>0</v>
      </c>
      <c r="O256" s="139">
        <v>0</v>
      </c>
      <c r="P256" s="139">
        <v>0</v>
      </c>
      <c r="Q256" s="139">
        <v>0</v>
      </c>
      <c r="R256" s="139">
        <v>0</v>
      </c>
      <c r="S256" s="139">
        <v>0</v>
      </c>
      <c r="T256" s="139">
        <v>0</v>
      </c>
      <c r="U256" s="139">
        <v>0</v>
      </c>
      <c r="V256" s="139">
        <v>0</v>
      </c>
      <c r="W256" s="139">
        <v>0</v>
      </c>
      <c r="X256" s="139">
        <v>0</v>
      </c>
      <c r="Y256" s="139">
        <v>0</v>
      </c>
      <c r="Z256" s="139">
        <v>0</v>
      </c>
      <c r="AA256" s="139">
        <v>0</v>
      </c>
      <c r="AB256" s="139">
        <v>0</v>
      </c>
      <c r="AC256" s="139">
        <v>0</v>
      </c>
      <c r="AD256" s="139">
        <v>0</v>
      </c>
      <c r="AE256" s="139">
        <v>0</v>
      </c>
      <c r="AF256" s="139">
        <v>0</v>
      </c>
      <c r="AG256" s="139">
        <v>0</v>
      </c>
      <c r="AH256" s="139">
        <v>0</v>
      </c>
      <c r="AI256" s="139">
        <v>0</v>
      </c>
      <c r="AJ256" s="139">
        <v>0</v>
      </c>
      <c r="AK256" s="139">
        <v>0</v>
      </c>
      <c r="AL256" s="139">
        <v>9600</v>
      </c>
      <c r="AM256" s="139">
        <v>9600</v>
      </c>
      <c r="AN256" s="139">
        <v>9600</v>
      </c>
      <c r="AO256" s="139">
        <v>9600</v>
      </c>
      <c r="AP256" s="139">
        <v>9600</v>
      </c>
      <c r="AQ256" s="139">
        <v>9600</v>
      </c>
      <c r="AR256" s="139">
        <v>9600</v>
      </c>
      <c r="AS256" s="139">
        <v>9600</v>
      </c>
      <c r="AT256" s="139">
        <v>9600</v>
      </c>
      <c r="AU256" s="139">
        <v>9600</v>
      </c>
      <c r="AV256" s="140"/>
    </row>
    <row r="257" spans="2:48" ht="15.75" customHeight="1" x14ac:dyDescent="0.2">
      <c r="B257" s="136" t="s">
        <v>238</v>
      </c>
      <c r="C257" s="137">
        <v>0</v>
      </c>
      <c r="D257" s="138">
        <v>0</v>
      </c>
      <c r="E257" s="139">
        <v>0</v>
      </c>
      <c r="F257" s="139">
        <v>0</v>
      </c>
      <c r="G257" s="139">
        <v>0</v>
      </c>
      <c r="H257" s="139">
        <v>0</v>
      </c>
      <c r="I257" s="139">
        <v>0</v>
      </c>
      <c r="J257" s="139">
        <v>0</v>
      </c>
      <c r="K257" s="139">
        <v>0</v>
      </c>
      <c r="L257" s="139">
        <v>0</v>
      </c>
      <c r="M257" s="139">
        <v>0</v>
      </c>
      <c r="N257" s="139">
        <v>0</v>
      </c>
      <c r="O257" s="139">
        <v>0</v>
      </c>
      <c r="P257" s="139">
        <v>0</v>
      </c>
      <c r="Q257" s="139">
        <v>0</v>
      </c>
      <c r="R257" s="139">
        <v>0</v>
      </c>
      <c r="S257" s="139">
        <v>0</v>
      </c>
      <c r="T257" s="139">
        <v>0</v>
      </c>
      <c r="U257" s="139">
        <v>0</v>
      </c>
      <c r="V257" s="139">
        <v>0</v>
      </c>
      <c r="W257" s="139">
        <v>0</v>
      </c>
      <c r="X257" s="139">
        <v>0</v>
      </c>
      <c r="Y257" s="139">
        <v>0</v>
      </c>
      <c r="Z257" s="139">
        <v>0</v>
      </c>
      <c r="AA257" s="139">
        <v>0</v>
      </c>
      <c r="AB257" s="139">
        <v>0</v>
      </c>
      <c r="AC257" s="139">
        <v>0</v>
      </c>
      <c r="AD257" s="139">
        <v>0</v>
      </c>
      <c r="AE257" s="139">
        <v>0</v>
      </c>
      <c r="AF257" s="139">
        <v>0</v>
      </c>
      <c r="AG257" s="139">
        <v>0</v>
      </c>
      <c r="AH257" s="139">
        <v>0</v>
      </c>
      <c r="AI257" s="139">
        <v>0</v>
      </c>
      <c r="AJ257" s="139">
        <v>0</v>
      </c>
      <c r="AK257" s="139">
        <v>0</v>
      </c>
      <c r="AL257" s="139">
        <v>9840</v>
      </c>
      <c r="AM257" s="139">
        <v>9840</v>
      </c>
      <c r="AN257" s="139">
        <v>9840</v>
      </c>
      <c r="AO257" s="139">
        <v>9840</v>
      </c>
      <c r="AP257" s="139">
        <v>9840</v>
      </c>
      <c r="AQ257" s="139">
        <v>9840</v>
      </c>
      <c r="AR257" s="139">
        <v>9840</v>
      </c>
      <c r="AS257" s="139">
        <v>9840</v>
      </c>
      <c r="AT257" s="139">
        <v>9840</v>
      </c>
      <c r="AU257" s="139">
        <v>9840</v>
      </c>
      <c r="AV257" s="140"/>
    </row>
    <row r="258" spans="2:48" ht="15.75" customHeight="1" x14ac:dyDescent="0.2">
      <c r="B258" s="136" t="s">
        <v>239</v>
      </c>
      <c r="C258" s="137">
        <v>0</v>
      </c>
      <c r="D258" s="138">
        <v>0</v>
      </c>
      <c r="E258" s="139">
        <v>0</v>
      </c>
      <c r="F258" s="139">
        <v>0</v>
      </c>
      <c r="G258" s="139">
        <v>0</v>
      </c>
      <c r="H258" s="139">
        <v>0</v>
      </c>
      <c r="I258" s="139">
        <v>0</v>
      </c>
      <c r="J258" s="139">
        <v>0</v>
      </c>
      <c r="K258" s="139">
        <v>0</v>
      </c>
      <c r="L258" s="139">
        <v>0</v>
      </c>
      <c r="M258" s="139">
        <v>0</v>
      </c>
      <c r="N258" s="139">
        <v>0</v>
      </c>
      <c r="O258" s="139">
        <v>0</v>
      </c>
      <c r="P258" s="139">
        <v>0</v>
      </c>
      <c r="Q258" s="139">
        <v>0</v>
      </c>
      <c r="R258" s="139">
        <v>0</v>
      </c>
      <c r="S258" s="139">
        <v>0</v>
      </c>
      <c r="T258" s="139">
        <v>0</v>
      </c>
      <c r="U258" s="139">
        <v>0</v>
      </c>
      <c r="V258" s="139">
        <v>0</v>
      </c>
      <c r="W258" s="139">
        <v>0</v>
      </c>
      <c r="X258" s="139">
        <v>0</v>
      </c>
      <c r="Y258" s="139">
        <v>0</v>
      </c>
      <c r="Z258" s="139">
        <v>0</v>
      </c>
      <c r="AA258" s="139">
        <v>0</v>
      </c>
      <c r="AB258" s="139">
        <v>0</v>
      </c>
      <c r="AC258" s="139">
        <v>0</v>
      </c>
      <c r="AD258" s="139">
        <v>0</v>
      </c>
      <c r="AE258" s="139">
        <v>0</v>
      </c>
      <c r="AF258" s="139">
        <v>0</v>
      </c>
      <c r="AG258" s="139">
        <v>0</v>
      </c>
      <c r="AH258" s="139">
        <v>0</v>
      </c>
      <c r="AI258" s="139">
        <v>0</v>
      </c>
      <c r="AJ258" s="139">
        <v>0</v>
      </c>
      <c r="AK258" s="139">
        <v>0</v>
      </c>
      <c r="AL258" s="139">
        <v>9600</v>
      </c>
      <c r="AM258" s="139">
        <v>9600</v>
      </c>
      <c r="AN258" s="139">
        <v>9600</v>
      </c>
      <c r="AO258" s="139">
        <v>9600</v>
      </c>
      <c r="AP258" s="139">
        <v>9600</v>
      </c>
      <c r="AQ258" s="139">
        <v>9600</v>
      </c>
      <c r="AR258" s="139">
        <v>9600</v>
      </c>
      <c r="AS258" s="139">
        <v>9600</v>
      </c>
      <c r="AT258" s="139">
        <v>9600</v>
      </c>
      <c r="AU258" s="139">
        <v>9600</v>
      </c>
      <c r="AV258" s="140"/>
    </row>
    <row r="259" spans="2:48" ht="15.75" customHeight="1" x14ac:dyDescent="0.2">
      <c r="B259" s="136" t="s">
        <v>240</v>
      </c>
      <c r="C259" s="137">
        <v>0</v>
      </c>
      <c r="D259" s="138">
        <v>0</v>
      </c>
      <c r="E259" s="139">
        <v>0</v>
      </c>
      <c r="F259" s="139">
        <v>0</v>
      </c>
      <c r="G259" s="139">
        <v>0</v>
      </c>
      <c r="H259" s="139">
        <v>0</v>
      </c>
      <c r="I259" s="139">
        <v>0</v>
      </c>
      <c r="J259" s="139">
        <v>0</v>
      </c>
      <c r="K259" s="139">
        <v>0</v>
      </c>
      <c r="L259" s="139">
        <v>0</v>
      </c>
      <c r="M259" s="139">
        <v>0</v>
      </c>
      <c r="N259" s="139">
        <v>0</v>
      </c>
      <c r="O259" s="139">
        <v>0</v>
      </c>
      <c r="P259" s="139">
        <v>0</v>
      </c>
      <c r="Q259" s="139">
        <v>0</v>
      </c>
      <c r="R259" s="139">
        <v>0</v>
      </c>
      <c r="S259" s="139">
        <v>0</v>
      </c>
      <c r="T259" s="139">
        <v>0</v>
      </c>
      <c r="U259" s="139">
        <v>0</v>
      </c>
      <c r="V259" s="139">
        <v>0</v>
      </c>
      <c r="W259" s="139">
        <v>0</v>
      </c>
      <c r="X259" s="139">
        <v>0</v>
      </c>
      <c r="Y259" s="139">
        <v>0</v>
      </c>
      <c r="Z259" s="139">
        <v>0</v>
      </c>
      <c r="AA259" s="139">
        <v>0</v>
      </c>
      <c r="AB259" s="139">
        <v>0</v>
      </c>
      <c r="AC259" s="139">
        <v>0</v>
      </c>
      <c r="AD259" s="139">
        <v>0</v>
      </c>
      <c r="AE259" s="139">
        <v>0</v>
      </c>
      <c r="AF259" s="139">
        <v>0</v>
      </c>
      <c r="AG259" s="139">
        <v>0</v>
      </c>
      <c r="AH259" s="139">
        <v>0</v>
      </c>
      <c r="AI259" s="139">
        <v>0</v>
      </c>
      <c r="AJ259" s="139">
        <v>0</v>
      </c>
      <c r="AK259" s="139">
        <v>0</v>
      </c>
      <c r="AL259" s="139">
        <v>10000</v>
      </c>
      <c r="AM259" s="139">
        <v>10000</v>
      </c>
      <c r="AN259" s="139">
        <v>10000</v>
      </c>
      <c r="AO259" s="139">
        <v>10000</v>
      </c>
      <c r="AP259" s="139">
        <v>10000</v>
      </c>
      <c r="AQ259" s="139">
        <v>10000</v>
      </c>
      <c r="AR259" s="139">
        <v>10000</v>
      </c>
      <c r="AS259" s="139">
        <v>10000</v>
      </c>
      <c r="AT259" s="139">
        <v>10000</v>
      </c>
      <c r="AU259" s="139">
        <v>10000</v>
      </c>
      <c r="AV259" s="140"/>
    </row>
    <row r="260" spans="2:48" ht="15.75" customHeight="1" x14ac:dyDescent="0.2">
      <c r="B260" s="136" t="s">
        <v>241</v>
      </c>
      <c r="C260" s="137">
        <v>0</v>
      </c>
      <c r="D260" s="138">
        <v>0</v>
      </c>
      <c r="E260" s="139">
        <v>0</v>
      </c>
      <c r="F260" s="139">
        <v>0</v>
      </c>
      <c r="G260" s="139">
        <v>0</v>
      </c>
      <c r="H260" s="139">
        <v>0</v>
      </c>
      <c r="I260" s="139">
        <v>0</v>
      </c>
      <c r="J260" s="139">
        <v>0</v>
      </c>
      <c r="K260" s="139">
        <v>0</v>
      </c>
      <c r="L260" s="139">
        <v>0</v>
      </c>
      <c r="M260" s="139">
        <v>0</v>
      </c>
      <c r="N260" s="139">
        <v>0</v>
      </c>
      <c r="O260" s="139">
        <v>0</v>
      </c>
      <c r="P260" s="139">
        <v>0</v>
      </c>
      <c r="Q260" s="139">
        <v>0</v>
      </c>
      <c r="R260" s="139">
        <v>0</v>
      </c>
      <c r="S260" s="139">
        <v>0</v>
      </c>
      <c r="T260" s="139">
        <v>0</v>
      </c>
      <c r="U260" s="139">
        <v>0</v>
      </c>
      <c r="V260" s="139">
        <v>0</v>
      </c>
      <c r="W260" s="139">
        <v>0</v>
      </c>
      <c r="X260" s="139">
        <v>0</v>
      </c>
      <c r="Y260" s="139">
        <v>0</v>
      </c>
      <c r="Z260" s="139">
        <v>0</v>
      </c>
      <c r="AA260" s="139">
        <v>0</v>
      </c>
      <c r="AB260" s="139">
        <v>0</v>
      </c>
      <c r="AC260" s="139">
        <v>0</v>
      </c>
      <c r="AD260" s="139">
        <v>0</v>
      </c>
      <c r="AE260" s="139">
        <v>0</v>
      </c>
      <c r="AF260" s="139">
        <v>0</v>
      </c>
      <c r="AG260" s="139">
        <v>0</v>
      </c>
      <c r="AH260" s="139">
        <v>0</v>
      </c>
      <c r="AI260" s="139">
        <v>0</v>
      </c>
      <c r="AJ260" s="139">
        <v>0</v>
      </c>
      <c r="AK260" s="139">
        <v>0</v>
      </c>
      <c r="AL260" s="139">
        <v>18060</v>
      </c>
      <c r="AM260" s="139">
        <v>18060</v>
      </c>
      <c r="AN260" s="139">
        <v>18060</v>
      </c>
      <c r="AO260" s="139">
        <v>18060</v>
      </c>
      <c r="AP260" s="139">
        <v>18060</v>
      </c>
      <c r="AQ260" s="139">
        <v>18060</v>
      </c>
      <c r="AR260" s="139">
        <v>18060</v>
      </c>
      <c r="AS260" s="139">
        <v>18060</v>
      </c>
      <c r="AT260" s="139">
        <v>18060</v>
      </c>
      <c r="AU260" s="139">
        <v>18060</v>
      </c>
      <c r="AV260" s="140"/>
    </row>
    <row r="261" spans="2:48" ht="15.75" customHeight="1" x14ac:dyDescent="0.2">
      <c r="B261" s="136" t="s">
        <v>242</v>
      </c>
      <c r="C261" s="137">
        <v>0</v>
      </c>
      <c r="D261" s="138">
        <v>0</v>
      </c>
      <c r="E261" s="139">
        <v>0</v>
      </c>
      <c r="F261" s="139">
        <v>0</v>
      </c>
      <c r="G261" s="139">
        <v>0</v>
      </c>
      <c r="H261" s="139">
        <v>0</v>
      </c>
      <c r="I261" s="139">
        <v>0</v>
      </c>
      <c r="J261" s="139">
        <v>0</v>
      </c>
      <c r="K261" s="139">
        <v>0</v>
      </c>
      <c r="L261" s="139">
        <v>0</v>
      </c>
      <c r="M261" s="139">
        <v>0</v>
      </c>
      <c r="N261" s="139">
        <v>0</v>
      </c>
      <c r="O261" s="139">
        <v>0</v>
      </c>
      <c r="P261" s="139">
        <v>0</v>
      </c>
      <c r="Q261" s="139">
        <v>0</v>
      </c>
      <c r="R261" s="139">
        <v>0</v>
      </c>
      <c r="S261" s="139">
        <v>0</v>
      </c>
      <c r="T261" s="139">
        <v>0</v>
      </c>
      <c r="U261" s="139">
        <v>0</v>
      </c>
      <c r="V261" s="139">
        <v>0</v>
      </c>
      <c r="W261" s="139">
        <v>0</v>
      </c>
      <c r="X261" s="139">
        <v>0</v>
      </c>
      <c r="Y261" s="139">
        <v>0</v>
      </c>
      <c r="Z261" s="139">
        <v>0</v>
      </c>
      <c r="AA261" s="139">
        <v>0</v>
      </c>
      <c r="AB261" s="139">
        <v>0</v>
      </c>
      <c r="AC261" s="139">
        <v>0</v>
      </c>
      <c r="AD261" s="139">
        <v>0</v>
      </c>
      <c r="AE261" s="139">
        <v>0</v>
      </c>
      <c r="AF261" s="139">
        <v>0</v>
      </c>
      <c r="AG261" s="139">
        <v>0</v>
      </c>
      <c r="AH261" s="139">
        <v>0</v>
      </c>
      <c r="AI261" s="139">
        <v>0</v>
      </c>
      <c r="AJ261" s="139">
        <v>0</v>
      </c>
      <c r="AK261" s="139">
        <v>0</v>
      </c>
      <c r="AL261" s="139">
        <v>9623</v>
      </c>
      <c r="AM261" s="139">
        <v>9623</v>
      </c>
      <c r="AN261" s="139">
        <v>9623</v>
      </c>
      <c r="AO261" s="139">
        <v>9623</v>
      </c>
      <c r="AP261" s="139">
        <v>9623</v>
      </c>
      <c r="AQ261" s="139">
        <v>9623</v>
      </c>
      <c r="AR261" s="139">
        <v>9623</v>
      </c>
      <c r="AS261" s="139">
        <v>9623</v>
      </c>
      <c r="AT261" s="139">
        <v>9623</v>
      </c>
      <c r="AU261" s="139">
        <v>9623</v>
      </c>
      <c r="AV261" s="140"/>
    </row>
    <row r="262" spans="2:48" ht="15.75" customHeight="1" x14ac:dyDescent="0.2">
      <c r="B262" s="136" t="s">
        <v>243</v>
      </c>
      <c r="C262" s="137">
        <v>0</v>
      </c>
      <c r="D262" s="138">
        <v>0</v>
      </c>
      <c r="E262" s="139">
        <v>0</v>
      </c>
      <c r="F262" s="139">
        <v>0</v>
      </c>
      <c r="G262" s="139">
        <v>0</v>
      </c>
      <c r="H262" s="139">
        <v>0</v>
      </c>
      <c r="I262" s="139">
        <v>0</v>
      </c>
      <c r="J262" s="139">
        <v>0</v>
      </c>
      <c r="K262" s="139">
        <v>0</v>
      </c>
      <c r="L262" s="139">
        <v>0</v>
      </c>
      <c r="M262" s="139">
        <v>0</v>
      </c>
      <c r="N262" s="139">
        <v>0</v>
      </c>
      <c r="O262" s="139">
        <v>0</v>
      </c>
      <c r="P262" s="139">
        <v>0</v>
      </c>
      <c r="Q262" s="139">
        <v>0</v>
      </c>
      <c r="R262" s="139">
        <v>0</v>
      </c>
      <c r="S262" s="139">
        <v>0</v>
      </c>
      <c r="T262" s="139">
        <v>0</v>
      </c>
      <c r="U262" s="139">
        <v>0</v>
      </c>
      <c r="V262" s="139">
        <v>0</v>
      </c>
      <c r="W262" s="139">
        <v>0</v>
      </c>
      <c r="X262" s="139">
        <v>0</v>
      </c>
      <c r="Y262" s="139">
        <v>0</v>
      </c>
      <c r="Z262" s="139">
        <v>0</v>
      </c>
      <c r="AA262" s="139">
        <v>0</v>
      </c>
      <c r="AB262" s="139">
        <v>0</v>
      </c>
      <c r="AC262" s="139">
        <v>0</v>
      </c>
      <c r="AD262" s="139">
        <v>0</v>
      </c>
      <c r="AE262" s="139">
        <v>0</v>
      </c>
      <c r="AF262" s="139">
        <v>0</v>
      </c>
      <c r="AG262" s="139">
        <v>0</v>
      </c>
      <c r="AH262" s="139">
        <v>0</v>
      </c>
      <c r="AI262" s="139">
        <v>0</v>
      </c>
      <c r="AJ262" s="139">
        <v>0</v>
      </c>
      <c r="AK262" s="139">
        <v>0</v>
      </c>
      <c r="AL262" s="139">
        <v>41055</v>
      </c>
      <c r="AM262" s="139">
        <v>41055</v>
      </c>
      <c r="AN262" s="139">
        <v>41055</v>
      </c>
      <c r="AO262" s="139">
        <v>41055</v>
      </c>
      <c r="AP262" s="139">
        <v>41055</v>
      </c>
      <c r="AQ262" s="139">
        <v>41055</v>
      </c>
      <c r="AR262" s="139">
        <v>41055</v>
      </c>
      <c r="AS262" s="139">
        <v>41055</v>
      </c>
      <c r="AT262" s="139">
        <v>41055</v>
      </c>
      <c r="AU262" s="139">
        <v>41055</v>
      </c>
      <c r="AV262" s="140"/>
    </row>
    <row r="263" spans="2:48" ht="15.75" customHeight="1" x14ac:dyDescent="0.2">
      <c r="B263" s="136" t="s">
        <v>244</v>
      </c>
      <c r="C263" s="137">
        <v>0</v>
      </c>
      <c r="D263" s="138">
        <v>0</v>
      </c>
      <c r="E263" s="139">
        <v>0</v>
      </c>
      <c r="F263" s="139">
        <v>0</v>
      </c>
      <c r="G263" s="139">
        <v>0</v>
      </c>
      <c r="H263" s="139">
        <v>0</v>
      </c>
      <c r="I263" s="139">
        <v>0</v>
      </c>
      <c r="J263" s="139">
        <v>0</v>
      </c>
      <c r="K263" s="139">
        <v>0</v>
      </c>
      <c r="L263" s="139">
        <v>0</v>
      </c>
      <c r="M263" s="139">
        <v>0</v>
      </c>
      <c r="N263" s="139">
        <v>0</v>
      </c>
      <c r="O263" s="139">
        <v>0</v>
      </c>
      <c r="P263" s="139">
        <v>0</v>
      </c>
      <c r="Q263" s="139">
        <v>0</v>
      </c>
      <c r="R263" s="139">
        <v>0</v>
      </c>
      <c r="S263" s="139">
        <v>0</v>
      </c>
      <c r="T263" s="139">
        <v>0</v>
      </c>
      <c r="U263" s="139">
        <v>0</v>
      </c>
      <c r="V263" s="139">
        <v>0</v>
      </c>
      <c r="W263" s="139">
        <v>0</v>
      </c>
      <c r="X263" s="139">
        <v>0</v>
      </c>
      <c r="Y263" s="139">
        <v>0</v>
      </c>
      <c r="Z263" s="139">
        <v>0</v>
      </c>
      <c r="AA263" s="139">
        <v>0</v>
      </c>
      <c r="AB263" s="139">
        <v>0</v>
      </c>
      <c r="AC263" s="139">
        <v>0</v>
      </c>
      <c r="AD263" s="139">
        <v>0</v>
      </c>
      <c r="AE263" s="139">
        <v>0</v>
      </c>
      <c r="AF263" s="139">
        <v>0</v>
      </c>
      <c r="AG263" s="139">
        <v>0</v>
      </c>
      <c r="AH263" s="139">
        <v>0</v>
      </c>
      <c r="AI263" s="139">
        <v>0</v>
      </c>
      <c r="AJ263" s="139">
        <v>0</v>
      </c>
      <c r="AK263" s="139">
        <v>0</v>
      </c>
      <c r="AL263" s="139">
        <v>9600</v>
      </c>
      <c r="AM263" s="139">
        <v>9600</v>
      </c>
      <c r="AN263" s="139">
        <v>9600</v>
      </c>
      <c r="AO263" s="139">
        <v>9600</v>
      </c>
      <c r="AP263" s="139">
        <v>9600</v>
      </c>
      <c r="AQ263" s="139">
        <v>9600</v>
      </c>
      <c r="AR263" s="139">
        <v>9600</v>
      </c>
      <c r="AS263" s="139">
        <v>9600</v>
      </c>
      <c r="AT263" s="139">
        <v>9600</v>
      </c>
      <c r="AU263" s="139">
        <v>9600</v>
      </c>
      <c r="AV263" s="140"/>
    </row>
    <row r="264" spans="2:48" ht="15.75" customHeight="1" x14ac:dyDescent="0.2">
      <c r="B264" s="136" t="s">
        <v>245</v>
      </c>
      <c r="C264" s="137">
        <v>0</v>
      </c>
      <c r="D264" s="138">
        <v>0</v>
      </c>
      <c r="E264" s="139">
        <v>0</v>
      </c>
      <c r="F264" s="139">
        <v>0</v>
      </c>
      <c r="G264" s="139">
        <v>0</v>
      </c>
      <c r="H264" s="139">
        <v>0</v>
      </c>
      <c r="I264" s="139">
        <v>0</v>
      </c>
      <c r="J264" s="139">
        <v>0</v>
      </c>
      <c r="K264" s="139">
        <v>0</v>
      </c>
      <c r="L264" s="139">
        <v>0</v>
      </c>
      <c r="M264" s="139">
        <v>0</v>
      </c>
      <c r="N264" s="139">
        <v>0</v>
      </c>
      <c r="O264" s="139">
        <v>0</v>
      </c>
      <c r="P264" s="139">
        <v>0</v>
      </c>
      <c r="Q264" s="139">
        <v>0</v>
      </c>
      <c r="R264" s="139">
        <v>0</v>
      </c>
      <c r="S264" s="139">
        <v>0</v>
      </c>
      <c r="T264" s="139">
        <v>0</v>
      </c>
      <c r="U264" s="139">
        <v>0</v>
      </c>
      <c r="V264" s="139">
        <v>0</v>
      </c>
      <c r="W264" s="139">
        <v>0</v>
      </c>
      <c r="X264" s="139">
        <v>0</v>
      </c>
      <c r="Y264" s="139">
        <v>0</v>
      </c>
      <c r="Z264" s="139">
        <v>0</v>
      </c>
      <c r="AA264" s="139">
        <v>0</v>
      </c>
      <c r="AB264" s="139">
        <v>0</v>
      </c>
      <c r="AC264" s="139">
        <v>0</v>
      </c>
      <c r="AD264" s="139">
        <v>0</v>
      </c>
      <c r="AE264" s="139">
        <v>0</v>
      </c>
      <c r="AF264" s="139">
        <v>0</v>
      </c>
      <c r="AG264" s="139">
        <v>0</v>
      </c>
      <c r="AH264" s="139">
        <v>0</v>
      </c>
      <c r="AI264" s="139">
        <v>0</v>
      </c>
      <c r="AJ264" s="139">
        <v>0</v>
      </c>
      <c r="AK264" s="139">
        <v>0</v>
      </c>
      <c r="AL264" s="139">
        <v>23976</v>
      </c>
      <c r="AM264" s="139">
        <v>23976</v>
      </c>
      <c r="AN264" s="139">
        <v>23976</v>
      </c>
      <c r="AO264" s="139">
        <v>23976</v>
      </c>
      <c r="AP264" s="139">
        <v>23976</v>
      </c>
      <c r="AQ264" s="139">
        <v>23976</v>
      </c>
      <c r="AR264" s="139">
        <v>23976</v>
      </c>
      <c r="AS264" s="139">
        <v>23976</v>
      </c>
      <c r="AT264" s="139">
        <v>23976</v>
      </c>
      <c r="AU264" s="139">
        <v>23976</v>
      </c>
      <c r="AV264" s="140"/>
    </row>
    <row r="265" spans="2:48" ht="15.75" customHeight="1" x14ac:dyDescent="0.2">
      <c r="B265" s="136" t="s">
        <v>246</v>
      </c>
      <c r="C265" s="137">
        <v>0</v>
      </c>
      <c r="D265" s="138">
        <v>0</v>
      </c>
      <c r="E265" s="139">
        <v>0</v>
      </c>
      <c r="F265" s="139">
        <v>0</v>
      </c>
      <c r="G265" s="139">
        <v>0</v>
      </c>
      <c r="H265" s="139">
        <v>0</v>
      </c>
      <c r="I265" s="139">
        <v>0</v>
      </c>
      <c r="J265" s="139">
        <v>0</v>
      </c>
      <c r="K265" s="139">
        <v>0</v>
      </c>
      <c r="L265" s="139">
        <v>0</v>
      </c>
      <c r="M265" s="139">
        <v>0</v>
      </c>
      <c r="N265" s="139">
        <v>0</v>
      </c>
      <c r="O265" s="139">
        <v>0</v>
      </c>
      <c r="P265" s="139">
        <v>0</v>
      </c>
      <c r="Q265" s="139">
        <v>0</v>
      </c>
      <c r="R265" s="139">
        <v>0</v>
      </c>
      <c r="S265" s="139">
        <v>0</v>
      </c>
      <c r="T265" s="139">
        <v>0</v>
      </c>
      <c r="U265" s="139">
        <v>0</v>
      </c>
      <c r="V265" s="139">
        <v>0</v>
      </c>
      <c r="W265" s="139">
        <v>0</v>
      </c>
      <c r="X265" s="139">
        <v>0</v>
      </c>
      <c r="Y265" s="139">
        <v>0</v>
      </c>
      <c r="Z265" s="139">
        <v>0</v>
      </c>
      <c r="AA265" s="139">
        <v>0</v>
      </c>
      <c r="AB265" s="139">
        <v>0</v>
      </c>
      <c r="AC265" s="139">
        <v>0</v>
      </c>
      <c r="AD265" s="139">
        <v>0</v>
      </c>
      <c r="AE265" s="139">
        <v>0</v>
      </c>
      <c r="AF265" s="139">
        <v>0</v>
      </c>
      <c r="AG265" s="139">
        <v>0</v>
      </c>
      <c r="AH265" s="139">
        <v>0</v>
      </c>
      <c r="AI265" s="139">
        <v>0</v>
      </c>
      <c r="AJ265" s="139">
        <v>0</v>
      </c>
      <c r="AK265" s="139">
        <v>0</v>
      </c>
      <c r="AL265" s="139">
        <v>9600</v>
      </c>
      <c r="AM265" s="139">
        <v>9600</v>
      </c>
      <c r="AN265" s="139">
        <v>9600</v>
      </c>
      <c r="AO265" s="139">
        <v>9600</v>
      </c>
      <c r="AP265" s="139">
        <v>9600</v>
      </c>
      <c r="AQ265" s="139">
        <v>9600</v>
      </c>
      <c r="AR265" s="139">
        <v>9600</v>
      </c>
      <c r="AS265" s="139">
        <v>9600</v>
      </c>
      <c r="AT265" s="139">
        <v>9600</v>
      </c>
      <c r="AU265" s="139">
        <v>9600</v>
      </c>
      <c r="AV265" s="140"/>
    </row>
    <row r="266" spans="2:48" ht="15.75" customHeight="1" x14ac:dyDescent="0.2">
      <c r="B266" s="136" t="s">
        <v>247</v>
      </c>
      <c r="C266" s="137">
        <v>0</v>
      </c>
      <c r="D266" s="138">
        <v>0</v>
      </c>
      <c r="E266" s="139">
        <v>0</v>
      </c>
      <c r="F266" s="139">
        <v>0</v>
      </c>
      <c r="G266" s="139">
        <v>0</v>
      </c>
      <c r="H266" s="139">
        <v>0</v>
      </c>
      <c r="I266" s="139">
        <v>0</v>
      </c>
      <c r="J266" s="139">
        <v>0</v>
      </c>
      <c r="K266" s="139">
        <v>0</v>
      </c>
      <c r="L266" s="139">
        <v>0</v>
      </c>
      <c r="M266" s="139">
        <v>0</v>
      </c>
      <c r="N266" s="139">
        <v>0</v>
      </c>
      <c r="O266" s="139">
        <v>0</v>
      </c>
      <c r="P266" s="139">
        <v>0</v>
      </c>
      <c r="Q266" s="139">
        <v>0</v>
      </c>
      <c r="R266" s="139">
        <v>0</v>
      </c>
      <c r="S266" s="139">
        <v>0</v>
      </c>
      <c r="T266" s="139">
        <v>0</v>
      </c>
      <c r="U266" s="139">
        <v>0</v>
      </c>
      <c r="V266" s="139">
        <v>0</v>
      </c>
      <c r="W266" s="139">
        <v>0</v>
      </c>
      <c r="X266" s="139">
        <v>0</v>
      </c>
      <c r="Y266" s="139">
        <v>0</v>
      </c>
      <c r="Z266" s="139">
        <v>0</v>
      </c>
      <c r="AA266" s="139">
        <v>0</v>
      </c>
      <c r="AB266" s="139">
        <v>0</v>
      </c>
      <c r="AC266" s="139">
        <v>0</v>
      </c>
      <c r="AD266" s="139">
        <v>0</v>
      </c>
      <c r="AE266" s="139">
        <v>0</v>
      </c>
      <c r="AF266" s="139">
        <v>0</v>
      </c>
      <c r="AG266" s="139">
        <v>0</v>
      </c>
      <c r="AH266" s="139">
        <v>0</v>
      </c>
      <c r="AI266" s="139">
        <v>0</v>
      </c>
      <c r="AJ266" s="139">
        <v>0</v>
      </c>
      <c r="AK266" s="139">
        <v>0</v>
      </c>
      <c r="AL266" s="139">
        <v>0</v>
      </c>
      <c r="AM266" s="139">
        <v>15900</v>
      </c>
      <c r="AN266" s="139">
        <v>15900</v>
      </c>
      <c r="AO266" s="139">
        <v>15900</v>
      </c>
      <c r="AP266" s="139">
        <v>15900</v>
      </c>
      <c r="AQ266" s="139">
        <v>15900</v>
      </c>
      <c r="AR266" s="139">
        <v>15900</v>
      </c>
      <c r="AS266" s="139">
        <v>15900</v>
      </c>
      <c r="AT266" s="139">
        <v>15900</v>
      </c>
      <c r="AU266" s="139">
        <v>15900</v>
      </c>
      <c r="AV266" s="140"/>
    </row>
    <row r="267" spans="2:48" ht="15.75" customHeight="1" x14ac:dyDescent="0.2">
      <c r="B267" s="136" t="s">
        <v>248</v>
      </c>
      <c r="C267" s="137">
        <v>0</v>
      </c>
      <c r="D267" s="138">
        <v>0</v>
      </c>
      <c r="E267" s="139">
        <v>0</v>
      </c>
      <c r="F267" s="139">
        <v>0</v>
      </c>
      <c r="G267" s="139">
        <v>0</v>
      </c>
      <c r="H267" s="139">
        <v>0</v>
      </c>
      <c r="I267" s="139">
        <v>0</v>
      </c>
      <c r="J267" s="139">
        <v>0</v>
      </c>
      <c r="K267" s="139">
        <v>0</v>
      </c>
      <c r="L267" s="139">
        <v>0</v>
      </c>
      <c r="M267" s="139">
        <v>0</v>
      </c>
      <c r="N267" s="139">
        <v>0</v>
      </c>
      <c r="O267" s="139">
        <v>0</v>
      </c>
      <c r="P267" s="139">
        <v>0</v>
      </c>
      <c r="Q267" s="139">
        <v>0</v>
      </c>
      <c r="R267" s="139">
        <v>0</v>
      </c>
      <c r="S267" s="139">
        <v>0</v>
      </c>
      <c r="T267" s="139">
        <v>0</v>
      </c>
      <c r="U267" s="139">
        <v>0</v>
      </c>
      <c r="V267" s="139">
        <v>0</v>
      </c>
      <c r="W267" s="139">
        <v>0</v>
      </c>
      <c r="X267" s="139">
        <v>0</v>
      </c>
      <c r="Y267" s="139">
        <v>0</v>
      </c>
      <c r="Z267" s="139">
        <v>0</v>
      </c>
      <c r="AA267" s="139">
        <v>0</v>
      </c>
      <c r="AB267" s="139">
        <v>0</v>
      </c>
      <c r="AC267" s="139">
        <v>0</v>
      </c>
      <c r="AD267" s="139">
        <v>0</v>
      </c>
      <c r="AE267" s="139">
        <v>0</v>
      </c>
      <c r="AF267" s="139">
        <v>0</v>
      </c>
      <c r="AG267" s="139">
        <v>0</v>
      </c>
      <c r="AH267" s="139">
        <v>0</v>
      </c>
      <c r="AI267" s="139">
        <v>0</v>
      </c>
      <c r="AJ267" s="139">
        <v>0</v>
      </c>
      <c r="AK267" s="139">
        <v>0</v>
      </c>
      <c r="AL267" s="139">
        <v>0</v>
      </c>
      <c r="AM267" s="139">
        <v>17820</v>
      </c>
      <c r="AN267" s="139">
        <v>17820</v>
      </c>
      <c r="AO267" s="139">
        <v>17820</v>
      </c>
      <c r="AP267" s="139">
        <v>17820</v>
      </c>
      <c r="AQ267" s="139">
        <v>17820</v>
      </c>
      <c r="AR267" s="139">
        <v>17820</v>
      </c>
      <c r="AS267" s="139">
        <v>17820</v>
      </c>
      <c r="AT267" s="139">
        <v>17820</v>
      </c>
      <c r="AU267" s="139">
        <v>17820</v>
      </c>
      <c r="AV267" s="140"/>
    </row>
    <row r="268" spans="2:48" ht="15.75" customHeight="1" x14ac:dyDescent="0.2">
      <c r="B268" s="136" t="s">
        <v>249</v>
      </c>
      <c r="C268" s="137">
        <v>0</v>
      </c>
      <c r="D268" s="138">
        <v>0</v>
      </c>
      <c r="E268" s="139">
        <v>0</v>
      </c>
      <c r="F268" s="139">
        <v>0</v>
      </c>
      <c r="G268" s="139">
        <v>0</v>
      </c>
      <c r="H268" s="139">
        <v>0</v>
      </c>
      <c r="I268" s="139">
        <v>0</v>
      </c>
      <c r="J268" s="139">
        <v>0</v>
      </c>
      <c r="K268" s="139">
        <v>0</v>
      </c>
      <c r="L268" s="139">
        <v>0</v>
      </c>
      <c r="M268" s="139">
        <v>0</v>
      </c>
      <c r="N268" s="139">
        <v>0</v>
      </c>
      <c r="O268" s="139">
        <v>0</v>
      </c>
      <c r="P268" s="139">
        <v>0</v>
      </c>
      <c r="Q268" s="139">
        <v>0</v>
      </c>
      <c r="R268" s="139">
        <v>0</v>
      </c>
      <c r="S268" s="139">
        <v>0</v>
      </c>
      <c r="T268" s="139">
        <v>0</v>
      </c>
      <c r="U268" s="139">
        <v>0</v>
      </c>
      <c r="V268" s="139">
        <v>0</v>
      </c>
      <c r="W268" s="139">
        <v>0</v>
      </c>
      <c r="X268" s="139">
        <v>0</v>
      </c>
      <c r="Y268" s="139">
        <v>0</v>
      </c>
      <c r="Z268" s="139">
        <v>0</v>
      </c>
      <c r="AA268" s="139">
        <v>0</v>
      </c>
      <c r="AB268" s="139">
        <v>0</v>
      </c>
      <c r="AC268" s="139">
        <v>0</v>
      </c>
      <c r="AD268" s="139">
        <v>0</v>
      </c>
      <c r="AE268" s="139">
        <v>0</v>
      </c>
      <c r="AF268" s="139">
        <v>0</v>
      </c>
      <c r="AG268" s="139">
        <v>0</v>
      </c>
      <c r="AH268" s="139">
        <v>0</v>
      </c>
      <c r="AI268" s="139">
        <v>0</v>
      </c>
      <c r="AJ268" s="139">
        <v>0</v>
      </c>
      <c r="AK268" s="139">
        <v>0</v>
      </c>
      <c r="AL268" s="139">
        <v>0</v>
      </c>
      <c r="AM268" s="139">
        <v>9590</v>
      </c>
      <c r="AN268" s="139">
        <v>9590</v>
      </c>
      <c r="AO268" s="139">
        <v>9590</v>
      </c>
      <c r="AP268" s="139">
        <v>9590</v>
      </c>
      <c r="AQ268" s="139">
        <v>9590</v>
      </c>
      <c r="AR268" s="139">
        <v>9590</v>
      </c>
      <c r="AS268" s="139">
        <v>9590</v>
      </c>
      <c r="AT268" s="139">
        <v>9590</v>
      </c>
      <c r="AU268" s="139">
        <v>9590</v>
      </c>
      <c r="AV268" s="140"/>
    </row>
    <row r="269" spans="2:48" ht="15.75" customHeight="1" x14ac:dyDescent="0.2">
      <c r="B269" s="136" t="s">
        <v>250</v>
      </c>
      <c r="C269" s="137">
        <v>0</v>
      </c>
      <c r="D269" s="138">
        <v>0</v>
      </c>
      <c r="E269" s="139">
        <v>0</v>
      </c>
      <c r="F269" s="139">
        <v>0</v>
      </c>
      <c r="G269" s="139">
        <v>0</v>
      </c>
      <c r="H269" s="139">
        <v>0</v>
      </c>
      <c r="I269" s="139">
        <v>0</v>
      </c>
      <c r="J269" s="139">
        <v>0</v>
      </c>
      <c r="K269" s="139">
        <v>0</v>
      </c>
      <c r="L269" s="139">
        <v>0</v>
      </c>
      <c r="M269" s="139">
        <v>0</v>
      </c>
      <c r="N269" s="139">
        <v>0</v>
      </c>
      <c r="O269" s="139">
        <v>0</v>
      </c>
      <c r="P269" s="139">
        <v>0</v>
      </c>
      <c r="Q269" s="139">
        <v>0</v>
      </c>
      <c r="R269" s="139">
        <v>0</v>
      </c>
      <c r="S269" s="139">
        <v>0</v>
      </c>
      <c r="T269" s="139">
        <v>0</v>
      </c>
      <c r="U269" s="139">
        <v>0</v>
      </c>
      <c r="V269" s="139">
        <v>0</v>
      </c>
      <c r="W269" s="139">
        <v>0</v>
      </c>
      <c r="X269" s="139">
        <v>0</v>
      </c>
      <c r="Y269" s="139">
        <v>0</v>
      </c>
      <c r="Z269" s="139">
        <v>0</v>
      </c>
      <c r="AA269" s="139">
        <v>0</v>
      </c>
      <c r="AB269" s="139">
        <v>0</v>
      </c>
      <c r="AC269" s="139">
        <v>0</v>
      </c>
      <c r="AD269" s="139">
        <v>0</v>
      </c>
      <c r="AE269" s="139">
        <v>0</v>
      </c>
      <c r="AF269" s="139">
        <v>0</v>
      </c>
      <c r="AG269" s="139">
        <v>0</v>
      </c>
      <c r="AH269" s="139">
        <v>0</v>
      </c>
      <c r="AI269" s="139">
        <v>0</v>
      </c>
      <c r="AJ269" s="139">
        <v>0</v>
      </c>
      <c r="AK269" s="139">
        <v>0</v>
      </c>
      <c r="AL269" s="139">
        <v>0</v>
      </c>
      <c r="AM269" s="139">
        <v>9993</v>
      </c>
      <c r="AN269" s="139">
        <v>9993</v>
      </c>
      <c r="AO269" s="139">
        <v>9993</v>
      </c>
      <c r="AP269" s="139">
        <v>9993</v>
      </c>
      <c r="AQ269" s="139">
        <v>9993</v>
      </c>
      <c r="AR269" s="139">
        <v>9993</v>
      </c>
      <c r="AS269" s="139">
        <v>9993</v>
      </c>
      <c r="AT269" s="139">
        <v>9993</v>
      </c>
      <c r="AU269" s="139">
        <v>9993</v>
      </c>
      <c r="AV269" s="140"/>
    </row>
    <row r="270" spans="2:48" ht="15.75" customHeight="1" x14ac:dyDescent="0.2">
      <c r="B270" s="136" t="s">
        <v>251</v>
      </c>
      <c r="C270" s="137">
        <v>0</v>
      </c>
      <c r="D270" s="138">
        <v>0</v>
      </c>
      <c r="E270" s="139">
        <v>0</v>
      </c>
      <c r="F270" s="139">
        <v>0</v>
      </c>
      <c r="G270" s="139">
        <v>0</v>
      </c>
      <c r="H270" s="139">
        <v>0</v>
      </c>
      <c r="I270" s="139">
        <v>0</v>
      </c>
      <c r="J270" s="139">
        <v>0</v>
      </c>
      <c r="K270" s="139">
        <v>0</v>
      </c>
      <c r="L270" s="139">
        <v>0</v>
      </c>
      <c r="M270" s="139">
        <v>0</v>
      </c>
      <c r="N270" s="139">
        <v>0</v>
      </c>
      <c r="O270" s="139">
        <v>0</v>
      </c>
      <c r="P270" s="139">
        <v>0</v>
      </c>
      <c r="Q270" s="139">
        <v>0</v>
      </c>
      <c r="R270" s="139">
        <v>0</v>
      </c>
      <c r="S270" s="139">
        <v>0</v>
      </c>
      <c r="T270" s="139">
        <v>0</v>
      </c>
      <c r="U270" s="139">
        <v>0</v>
      </c>
      <c r="V270" s="139">
        <v>0</v>
      </c>
      <c r="W270" s="139">
        <v>0</v>
      </c>
      <c r="X270" s="139">
        <v>0</v>
      </c>
      <c r="Y270" s="139">
        <v>0</v>
      </c>
      <c r="Z270" s="139">
        <v>0</v>
      </c>
      <c r="AA270" s="139">
        <v>0</v>
      </c>
      <c r="AB270" s="139">
        <v>0</v>
      </c>
      <c r="AC270" s="139">
        <v>0</v>
      </c>
      <c r="AD270" s="139">
        <v>0</v>
      </c>
      <c r="AE270" s="139">
        <v>0</v>
      </c>
      <c r="AF270" s="139">
        <v>0</v>
      </c>
      <c r="AG270" s="139">
        <v>0</v>
      </c>
      <c r="AH270" s="139">
        <v>0</v>
      </c>
      <c r="AI270" s="139">
        <v>0</v>
      </c>
      <c r="AJ270" s="139">
        <v>0</v>
      </c>
      <c r="AK270" s="139">
        <v>0</v>
      </c>
      <c r="AL270" s="139">
        <v>0</v>
      </c>
      <c r="AM270" s="139">
        <v>70544</v>
      </c>
      <c r="AN270" s="139">
        <v>70544</v>
      </c>
      <c r="AO270" s="139">
        <v>70544</v>
      </c>
      <c r="AP270" s="139">
        <v>70544</v>
      </c>
      <c r="AQ270" s="139">
        <v>70544</v>
      </c>
      <c r="AR270" s="139">
        <v>70544</v>
      </c>
      <c r="AS270" s="139">
        <v>70544</v>
      </c>
      <c r="AT270" s="139">
        <v>70544</v>
      </c>
      <c r="AU270" s="139">
        <v>70544</v>
      </c>
      <c r="AV270" s="140"/>
    </row>
    <row r="271" spans="2:48" ht="15.75" customHeight="1" x14ac:dyDescent="0.2">
      <c r="B271" s="136" t="s">
        <v>252</v>
      </c>
      <c r="C271" s="137">
        <v>0</v>
      </c>
      <c r="D271" s="138">
        <v>0</v>
      </c>
      <c r="E271" s="139">
        <v>0</v>
      </c>
      <c r="F271" s="139">
        <v>0</v>
      </c>
      <c r="G271" s="139">
        <v>0</v>
      </c>
      <c r="H271" s="139">
        <v>0</v>
      </c>
      <c r="I271" s="139">
        <v>0</v>
      </c>
      <c r="J271" s="139">
        <v>0</v>
      </c>
      <c r="K271" s="139">
        <v>0</v>
      </c>
      <c r="L271" s="139">
        <v>0</v>
      </c>
      <c r="M271" s="139">
        <v>0</v>
      </c>
      <c r="N271" s="139">
        <v>0</v>
      </c>
      <c r="O271" s="139">
        <v>0</v>
      </c>
      <c r="P271" s="139">
        <v>0</v>
      </c>
      <c r="Q271" s="139">
        <v>0</v>
      </c>
      <c r="R271" s="139">
        <v>0</v>
      </c>
      <c r="S271" s="139">
        <v>0</v>
      </c>
      <c r="T271" s="139">
        <v>0</v>
      </c>
      <c r="U271" s="139">
        <v>0</v>
      </c>
      <c r="V271" s="139">
        <v>0</v>
      </c>
      <c r="W271" s="139">
        <v>0</v>
      </c>
      <c r="X271" s="139">
        <v>0</v>
      </c>
      <c r="Y271" s="139">
        <v>0</v>
      </c>
      <c r="Z271" s="139">
        <v>0</v>
      </c>
      <c r="AA271" s="139">
        <v>0</v>
      </c>
      <c r="AB271" s="139">
        <v>0</v>
      </c>
      <c r="AC271" s="139">
        <v>0</v>
      </c>
      <c r="AD271" s="139">
        <v>0</v>
      </c>
      <c r="AE271" s="139">
        <v>0</v>
      </c>
      <c r="AF271" s="139">
        <v>0</v>
      </c>
      <c r="AG271" s="139">
        <v>0</v>
      </c>
      <c r="AH271" s="139">
        <v>0</v>
      </c>
      <c r="AI271" s="139">
        <v>0</v>
      </c>
      <c r="AJ271" s="139">
        <v>0</v>
      </c>
      <c r="AK271" s="139">
        <v>0</v>
      </c>
      <c r="AL271" s="139">
        <v>0</v>
      </c>
      <c r="AM271" s="139">
        <v>9600</v>
      </c>
      <c r="AN271" s="139">
        <v>9600</v>
      </c>
      <c r="AO271" s="139">
        <v>9600</v>
      </c>
      <c r="AP271" s="139">
        <v>9600</v>
      </c>
      <c r="AQ271" s="139">
        <v>9600</v>
      </c>
      <c r="AR271" s="139">
        <v>9600</v>
      </c>
      <c r="AS271" s="139">
        <v>9600</v>
      </c>
      <c r="AT271" s="139">
        <v>9600</v>
      </c>
      <c r="AU271" s="139">
        <v>9600</v>
      </c>
      <c r="AV271" s="140"/>
    </row>
    <row r="272" spans="2:48" ht="15.75" customHeight="1" x14ac:dyDescent="0.2">
      <c r="B272" s="136" t="s">
        <v>253</v>
      </c>
      <c r="C272" s="137">
        <v>0</v>
      </c>
      <c r="D272" s="138">
        <v>0</v>
      </c>
      <c r="E272" s="139">
        <v>0</v>
      </c>
      <c r="F272" s="139">
        <v>0</v>
      </c>
      <c r="G272" s="139">
        <v>0</v>
      </c>
      <c r="H272" s="139">
        <v>0</v>
      </c>
      <c r="I272" s="139">
        <v>0</v>
      </c>
      <c r="J272" s="139">
        <v>0</v>
      </c>
      <c r="K272" s="139">
        <v>0</v>
      </c>
      <c r="L272" s="139">
        <v>0</v>
      </c>
      <c r="M272" s="139">
        <v>0</v>
      </c>
      <c r="N272" s="139">
        <v>0</v>
      </c>
      <c r="O272" s="139">
        <v>0</v>
      </c>
      <c r="P272" s="139">
        <v>0</v>
      </c>
      <c r="Q272" s="139">
        <v>0</v>
      </c>
      <c r="R272" s="139">
        <v>0</v>
      </c>
      <c r="S272" s="139">
        <v>0</v>
      </c>
      <c r="T272" s="139">
        <v>0</v>
      </c>
      <c r="U272" s="139">
        <v>0</v>
      </c>
      <c r="V272" s="139">
        <v>0</v>
      </c>
      <c r="W272" s="139">
        <v>0</v>
      </c>
      <c r="X272" s="139">
        <v>0</v>
      </c>
      <c r="Y272" s="139">
        <v>0</v>
      </c>
      <c r="Z272" s="139">
        <v>0</v>
      </c>
      <c r="AA272" s="139">
        <v>0</v>
      </c>
      <c r="AB272" s="139">
        <v>0</v>
      </c>
      <c r="AC272" s="139">
        <v>0</v>
      </c>
      <c r="AD272" s="139">
        <v>0</v>
      </c>
      <c r="AE272" s="139">
        <v>0</v>
      </c>
      <c r="AF272" s="139">
        <v>0</v>
      </c>
      <c r="AG272" s="139">
        <v>0</v>
      </c>
      <c r="AH272" s="139">
        <v>0</v>
      </c>
      <c r="AI272" s="139">
        <v>0</v>
      </c>
      <c r="AJ272" s="139">
        <v>0</v>
      </c>
      <c r="AK272" s="139">
        <v>0</v>
      </c>
      <c r="AL272" s="139">
        <v>0</v>
      </c>
      <c r="AM272" s="139">
        <v>9600</v>
      </c>
      <c r="AN272" s="139">
        <v>9600</v>
      </c>
      <c r="AO272" s="139">
        <v>9600</v>
      </c>
      <c r="AP272" s="139">
        <v>9600</v>
      </c>
      <c r="AQ272" s="139">
        <v>9600</v>
      </c>
      <c r="AR272" s="139">
        <v>9600</v>
      </c>
      <c r="AS272" s="139">
        <v>9600</v>
      </c>
      <c r="AT272" s="139">
        <v>9600</v>
      </c>
      <c r="AU272" s="139">
        <v>9600</v>
      </c>
      <c r="AV272" s="140"/>
    </row>
    <row r="273" spans="2:48" ht="15.75" customHeight="1" x14ac:dyDescent="0.2">
      <c r="B273" s="136" t="s">
        <v>254</v>
      </c>
      <c r="C273" s="137">
        <v>0</v>
      </c>
      <c r="D273" s="138">
        <v>0</v>
      </c>
      <c r="E273" s="139">
        <v>0</v>
      </c>
      <c r="F273" s="139">
        <v>0</v>
      </c>
      <c r="G273" s="139">
        <v>0</v>
      </c>
      <c r="H273" s="139">
        <v>0</v>
      </c>
      <c r="I273" s="139">
        <v>0</v>
      </c>
      <c r="J273" s="139">
        <v>0</v>
      </c>
      <c r="K273" s="139">
        <v>0</v>
      </c>
      <c r="L273" s="139">
        <v>0</v>
      </c>
      <c r="M273" s="139">
        <v>0</v>
      </c>
      <c r="N273" s="139">
        <v>0</v>
      </c>
      <c r="O273" s="139">
        <v>0</v>
      </c>
      <c r="P273" s="139">
        <v>0</v>
      </c>
      <c r="Q273" s="139">
        <v>0</v>
      </c>
      <c r="R273" s="139">
        <v>0</v>
      </c>
      <c r="S273" s="139">
        <v>0</v>
      </c>
      <c r="T273" s="139">
        <v>0</v>
      </c>
      <c r="U273" s="139">
        <v>0</v>
      </c>
      <c r="V273" s="139">
        <v>0</v>
      </c>
      <c r="W273" s="139">
        <v>0</v>
      </c>
      <c r="X273" s="139">
        <v>0</v>
      </c>
      <c r="Y273" s="139">
        <v>0</v>
      </c>
      <c r="Z273" s="139">
        <v>0</v>
      </c>
      <c r="AA273" s="139">
        <v>0</v>
      </c>
      <c r="AB273" s="139">
        <v>0</v>
      </c>
      <c r="AC273" s="139">
        <v>0</v>
      </c>
      <c r="AD273" s="139">
        <v>0</v>
      </c>
      <c r="AE273" s="139">
        <v>0</v>
      </c>
      <c r="AF273" s="139">
        <v>0</v>
      </c>
      <c r="AG273" s="139">
        <v>0</v>
      </c>
      <c r="AH273" s="139">
        <v>0</v>
      </c>
      <c r="AI273" s="139">
        <v>0</v>
      </c>
      <c r="AJ273" s="139">
        <v>0</v>
      </c>
      <c r="AK273" s="139">
        <v>0</v>
      </c>
      <c r="AL273" s="139">
        <v>0</v>
      </c>
      <c r="AM273" s="139">
        <v>12600</v>
      </c>
      <c r="AN273" s="139">
        <v>12600</v>
      </c>
      <c r="AO273" s="139">
        <v>12600</v>
      </c>
      <c r="AP273" s="139">
        <v>12600</v>
      </c>
      <c r="AQ273" s="139">
        <v>12600</v>
      </c>
      <c r="AR273" s="139">
        <v>12600</v>
      </c>
      <c r="AS273" s="139">
        <v>12600</v>
      </c>
      <c r="AT273" s="139">
        <v>12600</v>
      </c>
      <c r="AU273" s="139">
        <v>12600</v>
      </c>
      <c r="AV273" s="140"/>
    </row>
    <row r="274" spans="2:48" ht="15.75" customHeight="1" x14ac:dyDescent="0.2">
      <c r="B274" s="136" t="s">
        <v>255</v>
      </c>
      <c r="C274" s="137">
        <v>0</v>
      </c>
      <c r="D274" s="138">
        <v>0</v>
      </c>
      <c r="E274" s="139">
        <v>0</v>
      </c>
      <c r="F274" s="139">
        <v>0</v>
      </c>
      <c r="G274" s="139">
        <v>0</v>
      </c>
      <c r="H274" s="139">
        <v>0</v>
      </c>
      <c r="I274" s="139">
        <v>0</v>
      </c>
      <c r="J274" s="139">
        <v>0</v>
      </c>
      <c r="K274" s="139">
        <v>0</v>
      </c>
      <c r="L274" s="139">
        <v>0</v>
      </c>
      <c r="M274" s="139">
        <v>0</v>
      </c>
      <c r="N274" s="139">
        <v>0</v>
      </c>
      <c r="O274" s="139">
        <v>0</v>
      </c>
      <c r="P274" s="139">
        <v>0</v>
      </c>
      <c r="Q274" s="139">
        <v>0</v>
      </c>
      <c r="R274" s="139">
        <v>0</v>
      </c>
      <c r="S274" s="139">
        <v>0</v>
      </c>
      <c r="T274" s="139">
        <v>0</v>
      </c>
      <c r="U274" s="139">
        <v>0</v>
      </c>
      <c r="V274" s="139">
        <v>0</v>
      </c>
      <c r="W274" s="139">
        <v>0</v>
      </c>
      <c r="X274" s="139">
        <v>0</v>
      </c>
      <c r="Y274" s="139">
        <v>0</v>
      </c>
      <c r="Z274" s="139">
        <v>0</v>
      </c>
      <c r="AA274" s="139">
        <v>0</v>
      </c>
      <c r="AB274" s="139">
        <v>0</v>
      </c>
      <c r="AC274" s="139">
        <v>0</v>
      </c>
      <c r="AD274" s="139">
        <v>0</v>
      </c>
      <c r="AE274" s="139">
        <v>0</v>
      </c>
      <c r="AF274" s="139">
        <v>0</v>
      </c>
      <c r="AG274" s="139">
        <v>0</v>
      </c>
      <c r="AH274" s="139">
        <v>0</v>
      </c>
      <c r="AI274" s="139">
        <v>0</v>
      </c>
      <c r="AJ274" s="139">
        <v>0</v>
      </c>
      <c r="AK274" s="139">
        <v>0</v>
      </c>
      <c r="AL274" s="139">
        <v>0</v>
      </c>
      <c r="AM274" s="139">
        <v>28800</v>
      </c>
      <c r="AN274" s="139">
        <v>28800</v>
      </c>
      <c r="AO274" s="139">
        <v>28800</v>
      </c>
      <c r="AP274" s="139">
        <v>28800</v>
      </c>
      <c r="AQ274" s="139">
        <v>28800</v>
      </c>
      <c r="AR274" s="139">
        <v>28800</v>
      </c>
      <c r="AS274" s="139">
        <v>28800</v>
      </c>
      <c r="AT274" s="139">
        <v>28800</v>
      </c>
      <c r="AU274" s="139">
        <v>28800</v>
      </c>
      <c r="AV274" s="140"/>
    </row>
    <row r="275" spans="2:48" ht="15.75" customHeight="1" x14ac:dyDescent="0.2">
      <c r="B275" s="136" t="s">
        <v>256</v>
      </c>
      <c r="C275" s="137">
        <v>0</v>
      </c>
      <c r="D275" s="138">
        <v>0</v>
      </c>
      <c r="E275" s="139">
        <v>0</v>
      </c>
      <c r="F275" s="139">
        <v>0</v>
      </c>
      <c r="G275" s="139">
        <v>0</v>
      </c>
      <c r="H275" s="139">
        <v>0</v>
      </c>
      <c r="I275" s="139">
        <v>0</v>
      </c>
      <c r="J275" s="139">
        <v>0</v>
      </c>
      <c r="K275" s="139">
        <v>0</v>
      </c>
      <c r="L275" s="139">
        <v>0</v>
      </c>
      <c r="M275" s="139">
        <v>0</v>
      </c>
      <c r="N275" s="139">
        <v>0</v>
      </c>
      <c r="O275" s="139">
        <v>0</v>
      </c>
      <c r="P275" s="139">
        <v>0</v>
      </c>
      <c r="Q275" s="139">
        <v>0</v>
      </c>
      <c r="R275" s="139">
        <v>0</v>
      </c>
      <c r="S275" s="139">
        <v>0</v>
      </c>
      <c r="T275" s="139">
        <v>0</v>
      </c>
      <c r="U275" s="139">
        <v>0</v>
      </c>
      <c r="V275" s="139">
        <v>0</v>
      </c>
      <c r="W275" s="139">
        <v>0</v>
      </c>
      <c r="X275" s="139">
        <v>0</v>
      </c>
      <c r="Y275" s="139">
        <v>0</v>
      </c>
      <c r="Z275" s="139">
        <v>0</v>
      </c>
      <c r="AA275" s="139">
        <v>0</v>
      </c>
      <c r="AB275" s="139">
        <v>0</v>
      </c>
      <c r="AC275" s="139">
        <v>0</v>
      </c>
      <c r="AD275" s="139">
        <v>0</v>
      </c>
      <c r="AE275" s="139">
        <v>0</v>
      </c>
      <c r="AF275" s="139">
        <v>0</v>
      </c>
      <c r="AG275" s="139">
        <v>0</v>
      </c>
      <c r="AH275" s="139">
        <v>0</v>
      </c>
      <c r="AI275" s="139">
        <v>0</v>
      </c>
      <c r="AJ275" s="139">
        <v>0</v>
      </c>
      <c r="AK275" s="139">
        <v>0</v>
      </c>
      <c r="AL275" s="139">
        <v>0</v>
      </c>
      <c r="AM275" s="139">
        <v>20079</v>
      </c>
      <c r="AN275" s="139">
        <v>20079</v>
      </c>
      <c r="AO275" s="139">
        <v>20079</v>
      </c>
      <c r="AP275" s="139">
        <v>20079</v>
      </c>
      <c r="AQ275" s="139">
        <v>20079</v>
      </c>
      <c r="AR275" s="139">
        <v>20079</v>
      </c>
      <c r="AS275" s="139">
        <v>20079</v>
      </c>
      <c r="AT275" s="139">
        <v>20079</v>
      </c>
      <c r="AU275" s="139">
        <v>20079</v>
      </c>
      <c r="AV275" s="140"/>
    </row>
    <row r="276" spans="2:48" ht="15.75" customHeight="1" x14ac:dyDescent="0.2">
      <c r="B276" s="136" t="s">
        <v>257</v>
      </c>
      <c r="C276" s="137">
        <v>0</v>
      </c>
      <c r="D276" s="138">
        <v>0</v>
      </c>
      <c r="E276" s="139">
        <v>0</v>
      </c>
      <c r="F276" s="139">
        <v>0</v>
      </c>
      <c r="G276" s="139">
        <v>0</v>
      </c>
      <c r="H276" s="139">
        <v>0</v>
      </c>
      <c r="I276" s="139">
        <v>0</v>
      </c>
      <c r="J276" s="139">
        <v>0</v>
      </c>
      <c r="K276" s="139">
        <v>0</v>
      </c>
      <c r="L276" s="139">
        <v>0</v>
      </c>
      <c r="M276" s="139">
        <v>0</v>
      </c>
      <c r="N276" s="139">
        <v>0</v>
      </c>
      <c r="O276" s="139">
        <v>0</v>
      </c>
      <c r="P276" s="139">
        <v>0</v>
      </c>
      <c r="Q276" s="139">
        <v>0</v>
      </c>
      <c r="R276" s="139">
        <v>0</v>
      </c>
      <c r="S276" s="139">
        <v>0</v>
      </c>
      <c r="T276" s="139">
        <v>0</v>
      </c>
      <c r="U276" s="139">
        <v>0</v>
      </c>
      <c r="V276" s="139">
        <v>0</v>
      </c>
      <c r="W276" s="139">
        <v>0</v>
      </c>
      <c r="X276" s="139">
        <v>0</v>
      </c>
      <c r="Y276" s="139">
        <v>0</v>
      </c>
      <c r="Z276" s="139">
        <v>0</v>
      </c>
      <c r="AA276" s="139">
        <v>0</v>
      </c>
      <c r="AB276" s="139">
        <v>0</v>
      </c>
      <c r="AC276" s="139">
        <v>0</v>
      </c>
      <c r="AD276" s="139">
        <v>0</v>
      </c>
      <c r="AE276" s="139">
        <v>0</v>
      </c>
      <c r="AF276" s="139">
        <v>0</v>
      </c>
      <c r="AG276" s="139">
        <v>0</v>
      </c>
      <c r="AH276" s="139">
        <v>0</v>
      </c>
      <c r="AI276" s="139">
        <v>0</v>
      </c>
      <c r="AJ276" s="139">
        <v>0</v>
      </c>
      <c r="AK276" s="139">
        <v>0</v>
      </c>
      <c r="AL276" s="139">
        <v>0</v>
      </c>
      <c r="AM276" s="139">
        <v>19320</v>
      </c>
      <c r="AN276" s="139">
        <v>19320</v>
      </c>
      <c r="AO276" s="139">
        <v>19320</v>
      </c>
      <c r="AP276" s="139">
        <v>19320</v>
      </c>
      <c r="AQ276" s="139">
        <v>19320</v>
      </c>
      <c r="AR276" s="139">
        <v>19320</v>
      </c>
      <c r="AS276" s="139">
        <v>19320</v>
      </c>
      <c r="AT276" s="139">
        <v>19320</v>
      </c>
      <c r="AU276" s="139">
        <v>19320</v>
      </c>
      <c r="AV276" s="140"/>
    </row>
    <row r="277" spans="2:48" ht="15.75" customHeight="1" x14ac:dyDescent="0.2">
      <c r="B277" s="136" t="s">
        <v>258</v>
      </c>
      <c r="C277" s="137">
        <v>0</v>
      </c>
      <c r="D277" s="138">
        <v>0</v>
      </c>
      <c r="E277" s="139">
        <v>0</v>
      </c>
      <c r="F277" s="139">
        <v>0</v>
      </c>
      <c r="G277" s="139">
        <v>0</v>
      </c>
      <c r="H277" s="139">
        <v>0</v>
      </c>
      <c r="I277" s="139">
        <v>0</v>
      </c>
      <c r="J277" s="139">
        <v>0</v>
      </c>
      <c r="K277" s="139">
        <v>0</v>
      </c>
      <c r="L277" s="139">
        <v>0</v>
      </c>
      <c r="M277" s="139">
        <v>0</v>
      </c>
      <c r="N277" s="139">
        <v>0</v>
      </c>
      <c r="O277" s="139">
        <v>0</v>
      </c>
      <c r="P277" s="139">
        <v>0</v>
      </c>
      <c r="Q277" s="139">
        <v>0</v>
      </c>
      <c r="R277" s="139">
        <v>0</v>
      </c>
      <c r="S277" s="139">
        <v>0</v>
      </c>
      <c r="T277" s="139">
        <v>0</v>
      </c>
      <c r="U277" s="139">
        <v>0</v>
      </c>
      <c r="V277" s="139">
        <v>0</v>
      </c>
      <c r="W277" s="139">
        <v>0</v>
      </c>
      <c r="X277" s="139">
        <v>0</v>
      </c>
      <c r="Y277" s="139">
        <v>0</v>
      </c>
      <c r="Z277" s="139">
        <v>0</v>
      </c>
      <c r="AA277" s="139">
        <v>0</v>
      </c>
      <c r="AB277" s="139">
        <v>0</v>
      </c>
      <c r="AC277" s="139">
        <v>0</v>
      </c>
      <c r="AD277" s="139">
        <v>0</v>
      </c>
      <c r="AE277" s="139">
        <v>0</v>
      </c>
      <c r="AF277" s="139">
        <v>0</v>
      </c>
      <c r="AG277" s="139">
        <v>0</v>
      </c>
      <c r="AH277" s="139">
        <v>0</v>
      </c>
      <c r="AI277" s="139">
        <v>0</v>
      </c>
      <c r="AJ277" s="139">
        <v>0</v>
      </c>
      <c r="AK277" s="139">
        <v>0</v>
      </c>
      <c r="AL277" s="139">
        <v>0</v>
      </c>
      <c r="AM277" s="139">
        <v>63000</v>
      </c>
      <c r="AN277" s="139">
        <v>63000</v>
      </c>
      <c r="AO277" s="139">
        <v>63000</v>
      </c>
      <c r="AP277" s="139">
        <v>63000</v>
      </c>
      <c r="AQ277" s="139">
        <v>63000</v>
      </c>
      <c r="AR277" s="139">
        <v>63000</v>
      </c>
      <c r="AS277" s="139">
        <v>63000</v>
      </c>
      <c r="AT277" s="139">
        <v>63000</v>
      </c>
      <c r="AU277" s="139">
        <v>63000</v>
      </c>
      <c r="AV277" s="140"/>
    </row>
    <row r="278" spans="2:48" ht="15.75" customHeight="1" x14ac:dyDescent="0.2">
      <c r="B278" s="136" t="s">
        <v>259</v>
      </c>
      <c r="C278" s="137">
        <v>0</v>
      </c>
      <c r="D278" s="138">
        <v>0</v>
      </c>
      <c r="E278" s="139">
        <v>0</v>
      </c>
      <c r="F278" s="139">
        <v>0</v>
      </c>
      <c r="G278" s="139">
        <v>0</v>
      </c>
      <c r="H278" s="139">
        <v>0</v>
      </c>
      <c r="I278" s="139">
        <v>0</v>
      </c>
      <c r="J278" s="139">
        <v>0</v>
      </c>
      <c r="K278" s="139">
        <v>0</v>
      </c>
      <c r="L278" s="139">
        <v>0</v>
      </c>
      <c r="M278" s="139">
        <v>0</v>
      </c>
      <c r="N278" s="139">
        <v>0</v>
      </c>
      <c r="O278" s="139">
        <v>0</v>
      </c>
      <c r="P278" s="139">
        <v>0</v>
      </c>
      <c r="Q278" s="139">
        <v>0</v>
      </c>
      <c r="R278" s="139">
        <v>0</v>
      </c>
      <c r="S278" s="139">
        <v>0</v>
      </c>
      <c r="T278" s="139">
        <v>0</v>
      </c>
      <c r="U278" s="139">
        <v>0</v>
      </c>
      <c r="V278" s="139">
        <v>0</v>
      </c>
      <c r="W278" s="139">
        <v>0</v>
      </c>
      <c r="X278" s="139">
        <v>0</v>
      </c>
      <c r="Y278" s="139">
        <v>0</v>
      </c>
      <c r="Z278" s="139">
        <v>0</v>
      </c>
      <c r="AA278" s="139">
        <v>0</v>
      </c>
      <c r="AB278" s="139">
        <v>0</v>
      </c>
      <c r="AC278" s="139">
        <v>0</v>
      </c>
      <c r="AD278" s="139">
        <v>0</v>
      </c>
      <c r="AE278" s="139">
        <v>0</v>
      </c>
      <c r="AF278" s="139">
        <v>0</v>
      </c>
      <c r="AG278" s="139">
        <v>0</v>
      </c>
      <c r="AH278" s="139">
        <v>0</v>
      </c>
      <c r="AI278" s="139">
        <v>0</v>
      </c>
      <c r="AJ278" s="139">
        <v>0</v>
      </c>
      <c r="AK278" s="139">
        <v>0</v>
      </c>
      <c r="AL278" s="139">
        <v>0</v>
      </c>
      <c r="AM278" s="139">
        <v>9600</v>
      </c>
      <c r="AN278" s="139">
        <v>9600</v>
      </c>
      <c r="AO278" s="139">
        <v>9600</v>
      </c>
      <c r="AP278" s="139">
        <v>9600</v>
      </c>
      <c r="AQ278" s="139">
        <v>9600</v>
      </c>
      <c r="AR278" s="139">
        <v>9600</v>
      </c>
      <c r="AS278" s="139">
        <v>9600</v>
      </c>
      <c r="AT278" s="139">
        <v>9600</v>
      </c>
      <c r="AU278" s="139">
        <v>9600</v>
      </c>
      <c r="AV278" s="140"/>
    </row>
    <row r="279" spans="2:48" ht="15.75" customHeight="1" x14ac:dyDescent="0.2">
      <c r="B279" s="136" t="s">
        <v>260</v>
      </c>
      <c r="C279" s="137">
        <v>0</v>
      </c>
      <c r="D279" s="138">
        <v>0</v>
      </c>
      <c r="E279" s="139">
        <v>0</v>
      </c>
      <c r="F279" s="139">
        <v>0</v>
      </c>
      <c r="G279" s="139">
        <v>0</v>
      </c>
      <c r="H279" s="139">
        <v>0</v>
      </c>
      <c r="I279" s="139">
        <v>0</v>
      </c>
      <c r="J279" s="139">
        <v>0</v>
      </c>
      <c r="K279" s="139">
        <v>0</v>
      </c>
      <c r="L279" s="139">
        <v>0</v>
      </c>
      <c r="M279" s="139">
        <v>0</v>
      </c>
      <c r="N279" s="139">
        <v>0</v>
      </c>
      <c r="O279" s="139">
        <v>0</v>
      </c>
      <c r="P279" s="139">
        <v>0</v>
      </c>
      <c r="Q279" s="139">
        <v>0</v>
      </c>
      <c r="R279" s="139">
        <v>0</v>
      </c>
      <c r="S279" s="139">
        <v>0</v>
      </c>
      <c r="T279" s="139">
        <v>0</v>
      </c>
      <c r="U279" s="139">
        <v>0</v>
      </c>
      <c r="V279" s="139">
        <v>0</v>
      </c>
      <c r="W279" s="139">
        <v>0</v>
      </c>
      <c r="X279" s="139">
        <v>0</v>
      </c>
      <c r="Y279" s="139">
        <v>0</v>
      </c>
      <c r="Z279" s="139">
        <v>0</v>
      </c>
      <c r="AA279" s="139">
        <v>0</v>
      </c>
      <c r="AB279" s="139">
        <v>0</v>
      </c>
      <c r="AC279" s="139">
        <v>0</v>
      </c>
      <c r="AD279" s="139">
        <v>0</v>
      </c>
      <c r="AE279" s="139">
        <v>0</v>
      </c>
      <c r="AF279" s="139">
        <v>0</v>
      </c>
      <c r="AG279" s="139">
        <v>0</v>
      </c>
      <c r="AH279" s="139">
        <v>0</v>
      </c>
      <c r="AI279" s="139">
        <v>0</v>
      </c>
      <c r="AJ279" s="139">
        <v>0</v>
      </c>
      <c r="AK279" s="139">
        <v>0</v>
      </c>
      <c r="AL279" s="139">
        <v>0</v>
      </c>
      <c r="AM279" s="139">
        <v>31185</v>
      </c>
      <c r="AN279" s="139">
        <v>31185</v>
      </c>
      <c r="AO279" s="139">
        <v>31185</v>
      </c>
      <c r="AP279" s="139">
        <v>31185</v>
      </c>
      <c r="AQ279" s="139">
        <v>31185</v>
      </c>
      <c r="AR279" s="139">
        <v>31185</v>
      </c>
      <c r="AS279" s="139">
        <v>31185</v>
      </c>
      <c r="AT279" s="139">
        <v>31185</v>
      </c>
      <c r="AU279" s="139">
        <v>31185</v>
      </c>
      <c r="AV279" s="140"/>
    </row>
    <row r="280" spans="2:48" ht="15.75" customHeight="1" x14ac:dyDescent="0.2">
      <c r="B280" s="136" t="s">
        <v>261</v>
      </c>
      <c r="C280" s="137">
        <v>0</v>
      </c>
      <c r="D280" s="138">
        <v>0</v>
      </c>
      <c r="E280" s="139">
        <v>0</v>
      </c>
      <c r="F280" s="139">
        <v>0</v>
      </c>
      <c r="G280" s="139">
        <v>0</v>
      </c>
      <c r="H280" s="139">
        <v>0</v>
      </c>
      <c r="I280" s="139">
        <v>0</v>
      </c>
      <c r="J280" s="139">
        <v>0</v>
      </c>
      <c r="K280" s="139">
        <v>0</v>
      </c>
      <c r="L280" s="139">
        <v>0</v>
      </c>
      <c r="M280" s="139">
        <v>0</v>
      </c>
      <c r="N280" s="139">
        <v>0</v>
      </c>
      <c r="O280" s="139">
        <v>0</v>
      </c>
      <c r="P280" s="139">
        <v>0</v>
      </c>
      <c r="Q280" s="139">
        <v>0</v>
      </c>
      <c r="R280" s="139">
        <v>0</v>
      </c>
      <c r="S280" s="139">
        <v>0</v>
      </c>
      <c r="T280" s="139">
        <v>0</v>
      </c>
      <c r="U280" s="139">
        <v>0</v>
      </c>
      <c r="V280" s="139">
        <v>0</v>
      </c>
      <c r="W280" s="139">
        <v>0</v>
      </c>
      <c r="X280" s="139">
        <v>0</v>
      </c>
      <c r="Y280" s="139">
        <v>0</v>
      </c>
      <c r="Z280" s="139">
        <v>0</v>
      </c>
      <c r="AA280" s="139">
        <v>0</v>
      </c>
      <c r="AB280" s="139">
        <v>0</v>
      </c>
      <c r="AC280" s="139">
        <v>0</v>
      </c>
      <c r="AD280" s="139">
        <v>0</v>
      </c>
      <c r="AE280" s="139">
        <v>0</v>
      </c>
      <c r="AF280" s="139">
        <v>0</v>
      </c>
      <c r="AG280" s="139">
        <v>0</v>
      </c>
      <c r="AH280" s="139">
        <v>0</v>
      </c>
      <c r="AI280" s="139">
        <v>0</v>
      </c>
      <c r="AJ280" s="139">
        <v>0</v>
      </c>
      <c r="AK280" s="139">
        <v>0</v>
      </c>
      <c r="AL280" s="139">
        <v>0</v>
      </c>
      <c r="AM280" s="139">
        <v>45360</v>
      </c>
      <c r="AN280" s="139">
        <v>45360</v>
      </c>
      <c r="AO280" s="139">
        <v>45360</v>
      </c>
      <c r="AP280" s="139">
        <v>45360</v>
      </c>
      <c r="AQ280" s="139">
        <v>45360</v>
      </c>
      <c r="AR280" s="139">
        <v>45360</v>
      </c>
      <c r="AS280" s="139">
        <v>45360</v>
      </c>
      <c r="AT280" s="139">
        <v>45360</v>
      </c>
      <c r="AU280" s="139">
        <v>45360</v>
      </c>
      <c r="AV280" s="140"/>
    </row>
    <row r="281" spans="2:48" ht="15.75" customHeight="1" x14ac:dyDescent="0.2">
      <c r="B281" s="136" t="s">
        <v>262</v>
      </c>
      <c r="C281" s="137">
        <v>0</v>
      </c>
      <c r="D281" s="138">
        <v>0</v>
      </c>
      <c r="E281" s="139">
        <v>0</v>
      </c>
      <c r="F281" s="139">
        <v>0</v>
      </c>
      <c r="G281" s="139">
        <v>0</v>
      </c>
      <c r="H281" s="139">
        <v>0</v>
      </c>
      <c r="I281" s="139">
        <v>0</v>
      </c>
      <c r="J281" s="139">
        <v>0</v>
      </c>
      <c r="K281" s="139">
        <v>0</v>
      </c>
      <c r="L281" s="139">
        <v>0</v>
      </c>
      <c r="M281" s="139">
        <v>0</v>
      </c>
      <c r="N281" s="139">
        <v>0</v>
      </c>
      <c r="O281" s="139">
        <v>0</v>
      </c>
      <c r="P281" s="139">
        <v>0</v>
      </c>
      <c r="Q281" s="139">
        <v>0</v>
      </c>
      <c r="R281" s="139">
        <v>0</v>
      </c>
      <c r="S281" s="139">
        <v>0</v>
      </c>
      <c r="T281" s="139">
        <v>0</v>
      </c>
      <c r="U281" s="139">
        <v>0</v>
      </c>
      <c r="V281" s="139">
        <v>0</v>
      </c>
      <c r="W281" s="139">
        <v>0</v>
      </c>
      <c r="X281" s="139">
        <v>0</v>
      </c>
      <c r="Y281" s="139">
        <v>0</v>
      </c>
      <c r="Z281" s="139">
        <v>0</v>
      </c>
      <c r="AA281" s="139">
        <v>0</v>
      </c>
      <c r="AB281" s="139">
        <v>0</v>
      </c>
      <c r="AC281" s="139">
        <v>0</v>
      </c>
      <c r="AD281" s="139">
        <v>0</v>
      </c>
      <c r="AE281" s="139">
        <v>0</v>
      </c>
      <c r="AF281" s="139">
        <v>0</v>
      </c>
      <c r="AG281" s="139">
        <v>0</v>
      </c>
      <c r="AH281" s="139">
        <v>0</v>
      </c>
      <c r="AI281" s="139">
        <v>0</v>
      </c>
      <c r="AJ281" s="139">
        <v>0</v>
      </c>
      <c r="AK281" s="139">
        <v>0</v>
      </c>
      <c r="AL281" s="139">
        <v>0</v>
      </c>
      <c r="AM281" s="139">
        <v>51768</v>
      </c>
      <c r="AN281" s="139">
        <v>51768</v>
      </c>
      <c r="AO281" s="139">
        <v>51768</v>
      </c>
      <c r="AP281" s="139">
        <v>51768</v>
      </c>
      <c r="AQ281" s="139">
        <v>51768</v>
      </c>
      <c r="AR281" s="139">
        <v>51768</v>
      </c>
      <c r="AS281" s="139">
        <v>51768</v>
      </c>
      <c r="AT281" s="139">
        <v>51768</v>
      </c>
      <c r="AU281" s="139">
        <v>51768</v>
      </c>
      <c r="AV281" s="140"/>
    </row>
    <row r="282" spans="2:48" ht="15.75" customHeight="1" x14ac:dyDescent="0.2">
      <c r="B282" s="136" t="s">
        <v>263</v>
      </c>
      <c r="C282" s="137">
        <v>0</v>
      </c>
      <c r="D282" s="138">
        <v>0</v>
      </c>
      <c r="E282" s="139">
        <v>0</v>
      </c>
      <c r="F282" s="139">
        <v>0</v>
      </c>
      <c r="G282" s="139">
        <v>0</v>
      </c>
      <c r="H282" s="139">
        <v>0</v>
      </c>
      <c r="I282" s="139">
        <v>0</v>
      </c>
      <c r="J282" s="139">
        <v>0</v>
      </c>
      <c r="K282" s="139">
        <v>0</v>
      </c>
      <c r="L282" s="139">
        <v>0</v>
      </c>
      <c r="M282" s="139">
        <v>0</v>
      </c>
      <c r="N282" s="139">
        <v>0</v>
      </c>
      <c r="O282" s="139">
        <v>0</v>
      </c>
      <c r="P282" s="139">
        <v>0</v>
      </c>
      <c r="Q282" s="139">
        <v>0</v>
      </c>
      <c r="R282" s="139">
        <v>0</v>
      </c>
      <c r="S282" s="139">
        <v>0</v>
      </c>
      <c r="T282" s="139">
        <v>0</v>
      </c>
      <c r="U282" s="139">
        <v>0</v>
      </c>
      <c r="V282" s="139">
        <v>0</v>
      </c>
      <c r="W282" s="139">
        <v>0</v>
      </c>
      <c r="X282" s="139">
        <v>0</v>
      </c>
      <c r="Y282" s="139">
        <v>0</v>
      </c>
      <c r="Z282" s="139">
        <v>0</v>
      </c>
      <c r="AA282" s="139">
        <v>0</v>
      </c>
      <c r="AB282" s="139">
        <v>0</v>
      </c>
      <c r="AC282" s="139">
        <v>0</v>
      </c>
      <c r="AD282" s="139">
        <v>0</v>
      </c>
      <c r="AE282" s="139">
        <v>0</v>
      </c>
      <c r="AF282" s="139">
        <v>0</v>
      </c>
      <c r="AG282" s="139">
        <v>0</v>
      </c>
      <c r="AH282" s="139">
        <v>0</v>
      </c>
      <c r="AI282" s="139">
        <v>0</v>
      </c>
      <c r="AJ282" s="139">
        <v>0</v>
      </c>
      <c r="AK282" s="139">
        <v>0</v>
      </c>
      <c r="AL282" s="139">
        <v>0</v>
      </c>
      <c r="AM282" s="139">
        <v>10008</v>
      </c>
      <c r="AN282" s="139">
        <v>10008</v>
      </c>
      <c r="AO282" s="139">
        <v>10008</v>
      </c>
      <c r="AP282" s="139">
        <v>10008</v>
      </c>
      <c r="AQ282" s="139">
        <v>10008</v>
      </c>
      <c r="AR282" s="139">
        <v>10008</v>
      </c>
      <c r="AS282" s="139">
        <v>10008</v>
      </c>
      <c r="AT282" s="139">
        <v>10008</v>
      </c>
      <c r="AU282" s="139">
        <v>10008</v>
      </c>
      <c r="AV282" s="140"/>
    </row>
    <row r="283" spans="2:48" ht="15.75" customHeight="1" x14ac:dyDescent="0.2">
      <c r="B283" s="136" t="s">
        <v>264</v>
      </c>
      <c r="C283" s="137">
        <v>0</v>
      </c>
      <c r="D283" s="138">
        <v>0</v>
      </c>
      <c r="E283" s="139">
        <v>0</v>
      </c>
      <c r="F283" s="139">
        <v>0</v>
      </c>
      <c r="G283" s="139">
        <v>0</v>
      </c>
      <c r="H283" s="139">
        <v>0</v>
      </c>
      <c r="I283" s="139">
        <v>0</v>
      </c>
      <c r="J283" s="139">
        <v>0</v>
      </c>
      <c r="K283" s="139">
        <v>0</v>
      </c>
      <c r="L283" s="139">
        <v>0</v>
      </c>
      <c r="M283" s="139">
        <v>0</v>
      </c>
      <c r="N283" s="139">
        <v>0</v>
      </c>
      <c r="O283" s="139">
        <v>0</v>
      </c>
      <c r="P283" s="139">
        <v>0</v>
      </c>
      <c r="Q283" s="139">
        <v>0</v>
      </c>
      <c r="R283" s="139">
        <v>0</v>
      </c>
      <c r="S283" s="139">
        <v>0</v>
      </c>
      <c r="T283" s="139">
        <v>0</v>
      </c>
      <c r="U283" s="139">
        <v>0</v>
      </c>
      <c r="V283" s="139">
        <v>0</v>
      </c>
      <c r="W283" s="139">
        <v>0</v>
      </c>
      <c r="X283" s="139">
        <v>0</v>
      </c>
      <c r="Y283" s="139">
        <v>0</v>
      </c>
      <c r="Z283" s="139">
        <v>0</v>
      </c>
      <c r="AA283" s="139">
        <v>0</v>
      </c>
      <c r="AB283" s="139">
        <v>0</v>
      </c>
      <c r="AC283" s="139">
        <v>0</v>
      </c>
      <c r="AD283" s="139">
        <v>0</v>
      </c>
      <c r="AE283" s="139">
        <v>0</v>
      </c>
      <c r="AF283" s="139">
        <v>0</v>
      </c>
      <c r="AG283" s="139">
        <v>0</v>
      </c>
      <c r="AH283" s="139">
        <v>0</v>
      </c>
      <c r="AI283" s="139">
        <v>0</v>
      </c>
      <c r="AJ283" s="139">
        <v>0</v>
      </c>
      <c r="AK283" s="139">
        <v>0</v>
      </c>
      <c r="AL283" s="139">
        <v>0</v>
      </c>
      <c r="AM283" s="139">
        <v>37800</v>
      </c>
      <c r="AN283" s="139">
        <v>37800</v>
      </c>
      <c r="AO283" s="139">
        <v>37800</v>
      </c>
      <c r="AP283" s="139">
        <v>37800</v>
      </c>
      <c r="AQ283" s="139">
        <v>37800</v>
      </c>
      <c r="AR283" s="139">
        <v>37800</v>
      </c>
      <c r="AS283" s="139">
        <v>37800</v>
      </c>
      <c r="AT283" s="139">
        <v>37800</v>
      </c>
      <c r="AU283" s="139">
        <v>37800</v>
      </c>
      <c r="AV283" s="140"/>
    </row>
    <row r="284" spans="2:48" ht="15.75" customHeight="1" x14ac:dyDescent="0.2">
      <c r="B284" s="136" t="s">
        <v>265</v>
      </c>
      <c r="C284" s="137">
        <v>0</v>
      </c>
      <c r="D284" s="138">
        <v>0</v>
      </c>
      <c r="E284" s="139">
        <v>0</v>
      </c>
      <c r="F284" s="139">
        <v>0</v>
      </c>
      <c r="G284" s="139">
        <v>0</v>
      </c>
      <c r="H284" s="139">
        <v>0</v>
      </c>
      <c r="I284" s="139">
        <v>0</v>
      </c>
      <c r="J284" s="139">
        <v>0</v>
      </c>
      <c r="K284" s="139">
        <v>0</v>
      </c>
      <c r="L284" s="139">
        <v>0</v>
      </c>
      <c r="M284" s="139">
        <v>0</v>
      </c>
      <c r="N284" s="139">
        <v>0</v>
      </c>
      <c r="O284" s="139">
        <v>0</v>
      </c>
      <c r="P284" s="139">
        <v>0</v>
      </c>
      <c r="Q284" s="139">
        <v>0</v>
      </c>
      <c r="R284" s="139">
        <v>0</v>
      </c>
      <c r="S284" s="139">
        <v>0</v>
      </c>
      <c r="T284" s="139">
        <v>0</v>
      </c>
      <c r="U284" s="139">
        <v>0</v>
      </c>
      <c r="V284" s="139">
        <v>0</v>
      </c>
      <c r="W284" s="139">
        <v>0</v>
      </c>
      <c r="X284" s="139">
        <v>0</v>
      </c>
      <c r="Y284" s="139">
        <v>0</v>
      </c>
      <c r="Z284" s="139">
        <v>0</v>
      </c>
      <c r="AA284" s="139">
        <v>0</v>
      </c>
      <c r="AB284" s="139">
        <v>0</v>
      </c>
      <c r="AC284" s="139">
        <v>0</v>
      </c>
      <c r="AD284" s="139">
        <v>0</v>
      </c>
      <c r="AE284" s="139">
        <v>0</v>
      </c>
      <c r="AF284" s="139">
        <v>0</v>
      </c>
      <c r="AG284" s="139">
        <v>0</v>
      </c>
      <c r="AH284" s="139">
        <v>0</v>
      </c>
      <c r="AI284" s="139">
        <v>0</v>
      </c>
      <c r="AJ284" s="139">
        <v>0</v>
      </c>
      <c r="AK284" s="139">
        <v>0</v>
      </c>
      <c r="AL284" s="139">
        <v>0</v>
      </c>
      <c r="AM284" s="139">
        <v>36900</v>
      </c>
      <c r="AN284" s="139">
        <v>36900</v>
      </c>
      <c r="AO284" s="139">
        <v>36900</v>
      </c>
      <c r="AP284" s="139">
        <v>36900</v>
      </c>
      <c r="AQ284" s="139">
        <v>36900</v>
      </c>
      <c r="AR284" s="139">
        <v>36900</v>
      </c>
      <c r="AS284" s="139">
        <v>36900</v>
      </c>
      <c r="AT284" s="139">
        <v>36900</v>
      </c>
      <c r="AU284" s="139">
        <v>36900</v>
      </c>
      <c r="AV284" s="140"/>
    </row>
    <row r="285" spans="2:48" ht="15.75" customHeight="1" x14ac:dyDescent="0.2">
      <c r="B285" s="136" t="s">
        <v>266</v>
      </c>
      <c r="C285" s="137">
        <v>0</v>
      </c>
      <c r="D285" s="138">
        <v>0</v>
      </c>
      <c r="E285" s="139">
        <v>0</v>
      </c>
      <c r="F285" s="139">
        <v>0</v>
      </c>
      <c r="G285" s="139">
        <v>0</v>
      </c>
      <c r="H285" s="139">
        <v>0</v>
      </c>
      <c r="I285" s="139">
        <v>0</v>
      </c>
      <c r="J285" s="139">
        <v>0</v>
      </c>
      <c r="K285" s="139">
        <v>0</v>
      </c>
      <c r="L285" s="139">
        <v>0</v>
      </c>
      <c r="M285" s="139">
        <v>0</v>
      </c>
      <c r="N285" s="139">
        <v>0</v>
      </c>
      <c r="O285" s="139">
        <v>0</v>
      </c>
      <c r="P285" s="139">
        <v>0</v>
      </c>
      <c r="Q285" s="139">
        <v>0</v>
      </c>
      <c r="R285" s="139">
        <v>0</v>
      </c>
      <c r="S285" s="139">
        <v>0</v>
      </c>
      <c r="T285" s="139">
        <v>0</v>
      </c>
      <c r="U285" s="139">
        <v>0</v>
      </c>
      <c r="V285" s="139">
        <v>0</v>
      </c>
      <c r="W285" s="139">
        <v>0</v>
      </c>
      <c r="X285" s="139">
        <v>0</v>
      </c>
      <c r="Y285" s="139">
        <v>0</v>
      </c>
      <c r="Z285" s="139">
        <v>0</v>
      </c>
      <c r="AA285" s="139">
        <v>0</v>
      </c>
      <c r="AB285" s="139">
        <v>0</v>
      </c>
      <c r="AC285" s="139">
        <v>0</v>
      </c>
      <c r="AD285" s="139">
        <v>0</v>
      </c>
      <c r="AE285" s="139">
        <v>0</v>
      </c>
      <c r="AF285" s="139">
        <v>0</v>
      </c>
      <c r="AG285" s="139">
        <v>0</v>
      </c>
      <c r="AH285" s="139">
        <v>0</v>
      </c>
      <c r="AI285" s="139">
        <v>0</v>
      </c>
      <c r="AJ285" s="139">
        <v>0</v>
      </c>
      <c r="AK285" s="139">
        <v>0</v>
      </c>
      <c r="AL285" s="139">
        <v>0</v>
      </c>
      <c r="AM285" s="139">
        <v>39600</v>
      </c>
      <c r="AN285" s="139">
        <v>39600</v>
      </c>
      <c r="AO285" s="139">
        <v>39600</v>
      </c>
      <c r="AP285" s="139">
        <v>39600</v>
      </c>
      <c r="AQ285" s="139">
        <v>39600</v>
      </c>
      <c r="AR285" s="139">
        <v>81200</v>
      </c>
      <c r="AS285" s="139">
        <v>81200</v>
      </c>
      <c r="AT285" s="139">
        <v>81200</v>
      </c>
      <c r="AU285" s="139">
        <v>81200</v>
      </c>
      <c r="AV285" s="140"/>
    </row>
    <row r="286" spans="2:48" ht="15.75" customHeight="1" x14ac:dyDescent="0.2">
      <c r="B286" s="136" t="s">
        <v>267</v>
      </c>
      <c r="C286" s="137">
        <v>0</v>
      </c>
      <c r="D286" s="138">
        <v>0</v>
      </c>
      <c r="E286" s="139">
        <v>0</v>
      </c>
      <c r="F286" s="139">
        <v>0</v>
      </c>
      <c r="G286" s="139">
        <v>0</v>
      </c>
      <c r="H286" s="139">
        <v>0</v>
      </c>
      <c r="I286" s="139">
        <v>0</v>
      </c>
      <c r="J286" s="139">
        <v>0</v>
      </c>
      <c r="K286" s="139">
        <v>0</v>
      </c>
      <c r="L286" s="139">
        <v>0</v>
      </c>
      <c r="M286" s="139">
        <v>0</v>
      </c>
      <c r="N286" s="139">
        <v>0</v>
      </c>
      <c r="O286" s="139">
        <v>0</v>
      </c>
      <c r="P286" s="139">
        <v>0</v>
      </c>
      <c r="Q286" s="139">
        <v>0</v>
      </c>
      <c r="R286" s="139">
        <v>0</v>
      </c>
      <c r="S286" s="139">
        <v>0</v>
      </c>
      <c r="T286" s="139">
        <v>0</v>
      </c>
      <c r="U286" s="139">
        <v>0</v>
      </c>
      <c r="V286" s="139">
        <v>0</v>
      </c>
      <c r="W286" s="139">
        <v>0</v>
      </c>
      <c r="X286" s="139">
        <v>0</v>
      </c>
      <c r="Y286" s="139">
        <v>0</v>
      </c>
      <c r="Z286" s="139">
        <v>0</v>
      </c>
      <c r="AA286" s="139">
        <v>0</v>
      </c>
      <c r="AB286" s="139">
        <v>0</v>
      </c>
      <c r="AC286" s="139">
        <v>0</v>
      </c>
      <c r="AD286" s="139">
        <v>0</v>
      </c>
      <c r="AE286" s="139">
        <v>0</v>
      </c>
      <c r="AF286" s="139">
        <v>0</v>
      </c>
      <c r="AG286" s="139">
        <v>0</v>
      </c>
      <c r="AH286" s="139">
        <v>0</v>
      </c>
      <c r="AI286" s="139">
        <v>0</v>
      </c>
      <c r="AJ286" s="139">
        <v>0</v>
      </c>
      <c r="AK286" s="139">
        <v>0</v>
      </c>
      <c r="AL286" s="139">
        <v>0</v>
      </c>
      <c r="AM286" s="139">
        <v>54760</v>
      </c>
      <c r="AN286" s="139">
        <v>54760</v>
      </c>
      <c r="AO286" s="139">
        <v>54760</v>
      </c>
      <c r="AP286" s="139">
        <v>54760</v>
      </c>
      <c r="AQ286" s="139">
        <v>54760</v>
      </c>
      <c r="AR286" s="139">
        <v>54760</v>
      </c>
      <c r="AS286" s="139">
        <v>54760</v>
      </c>
      <c r="AT286" s="139">
        <v>54760</v>
      </c>
      <c r="AU286" s="139">
        <v>54760</v>
      </c>
      <c r="AV286" s="140"/>
    </row>
    <row r="287" spans="2:48" ht="15.75" customHeight="1" x14ac:dyDescent="0.2">
      <c r="B287" s="136" t="s">
        <v>268</v>
      </c>
      <c r="C287" s="137">
        <v>0</v>
      </c>
      <c r="D287" s="138">
        <v>0</v>
      </c>
      <c r="E287" s="139">
        <v>0</v>
      </c>
      <c r="F287" s="139">
        <v>0</v>
      </c>
      <c r="G287" s="139">
        <v>0</v>
      </c>
      <c r="H287" s="139">
        <v>0</v>
      </c>
      <c r="I287" s="139">
        <v>0</v>
      </c>
      <c r="J287" s="139">
        <v>0</v>
      </c>
      <c r="K287" s="139">
        <v>0</v>
      </c>
      <c r="L287" s="139">
        <v>0</v>
      </c>
      <c r="M287" s="139">
        <v>0</v>
      </c>
      <c r="N287" s="139">
        <v>0</v>
      </c>
      <c r="O287" s="139">
        <v>0</v>
      </c>
      <c r="P287" s="139">
        <v>0</v>
      </c>
      <c r="Q287" s="139">
        <v>0</v>
      </c>
      <c r="R287" s="139">
        <v>0</v>
      </c>
      <c r="S287" s="139">
        <v>0</v>
      </c>
      <c r="T287" s="139">
        <v>0</v>
      </c>
      <c r="U287" s="139">
        <v>0</v>
      </c>
      <c r="V287" s="139">
        <v>0</v>
      </c>
      <c r="W287" s="139">
        <v>0</v>
      </c>
      <c r="X287" s="139">
        <v>0</v>
      </c>
      <c r="Y287" s="139">
        <v>0</v>
      </c>
      <c r="Z287" s="139">
        <v>0</v>
      </c>
      <c r="AA287" s="139">
        <v>0</v>
      </c>
      <c r="AB287" s="139">
        <v>0</v>
      </c>
      <c r="AC287" s="139">
        <v>0</v>
      </c>
      <c r="AD287" s="139">
        <v>0</v>
      </c>
      <c r="AE287" s="139">
        <v>0</v>
      </c>
      <c r="AF287" s="139">
        <v>0</v>
      </c>
      <c r="AG287" s="139">
        <v>0</v>
      </c>
      <c r="AH287" s="139">
        <v>0</v>
      </c>
      <c r="AI287" s="139">
        <v>0</v>
      </c>
      <c r="AJ287" s="139">
        <v>0</v>
      </c>
      <c r="AK287" s="139">
        <v>0</v>
      </c>
      <c r="AL287" s="139">
        <v>0</v>
      </c>
      <c r="AM287" s="139">
        <v>13500</v>
      </c>
      <c r="AN287" s="139">
        <v>13500</v>
      </c>
      <c r="AO287" s="139">
        <v>13500</v>
      </c>
      <c r="AP287" s="139">
        <v>13500</v>
      </c>
      <c r="AQ287" s="139">
        <v>13500</v>
      </c>
      <c r="AR287" s="139">
        <v>13500</v>
      </c>
      <c r="AS287" s="139">
        <v>13500</v>
      </c>
      <c r="AT287" s="139">
        <v>13500</v>
      </c>
      <c r="AU287" s="139">
        <v>13500</v>
      </c>
      <c r="AV287" s="140"/>
    </row>
    <row r="288" spans="2:48" ht="15.75" customHeight="1" x14ac:dyDescent="0.2">
      <c r="B288" s="136" t="s">
        <v>269</v>
      </c>
      <c r="C288" s="137">
        <v>0</v>
      </c>
      <c r="D288" s="138">
        <v>0</v>
      </c>
      <c r="E288" s="139">
        <v>0</v>
      </c>
      <c r="F288" s="139">
        <v>0</v>
      </c>
      <c r="G288" s="139">
        <v>0</v>
      </c>
      <c r="H288" s="139">
        <v>0</v>
      </c>
      <c r="I288" s="139">
        <v>0</v>
      </c>
      <c r="J288" s="139">
        <v>0</v>
      </c>
      <c r="K288" s="139">
        <v>0</v>
      </c>
      <c r="L288" s="139">
        <v>0</v>
      </c>
      <c r="M288" s="139">
        <v>0</v>
      </c>
      <c r="N288" s="139">
        <v>0</v>
      </c>
      <c r="O288" s="139">
        <v>0</v>
      </c>
      <c r="P288" s="139">
        <v>0</v>
      </c>
      <c r="Q288" s="139">
        <v>0</v>
      </c>
      <c r="R288" s="139">
        <v>0</v>
      </c>
      <c r="S288" s="139">
        <v>0</v>
      </c>
      <c r="T288" s="139">
        <v>0</v>
      </c>
      <c r="U288" s="139">
        <v>0</v>
      </c>
      <c r="V288" s="139">
        <v>0</v>
      </c>
      <c r="W288" s="139">
        <v>0</v>
      </c>
      <c r="X288" s="139">
        <v>0</v>
      </c>
      <c r="Y288" s="139">
        <v>0</v>
      </c>
      <c r="Z288" s="139">
        <v>0</v>
      </c>
      <c r="AA288" s="139">
        <v>0</v>
      </c>
      <c r="AB288" s="139">
        <v>0</v>
      </c>
      <c r="AC288" s="139">
        <v>0</v>
      </c>
      <c r="AD288" s="139">
        <v>0</v>
      </c>
      <c r="AE288" s="139">
        <v>0</v>
      </c>
      <c r="AF288" s="139">
        <v>0</v>
      </c>
      <c r="AG288" s="139">
        <v>0</v>
      </c>
      <c r="AH288" s="139">
        <v>0</v>
      </c>
      <c r="AI288" s="139">
        <v>0</v>
      </c>
      <c r="AJ288" s="139">
        <v>0</v>
      </c>
      <c r="AK288" s="139">
        <v>0</v>
      </c>
      <c r="AL288" s="139">
        <v>0</v>
      </c>
      <c r="AM288" s="139">
        <v>18000</v>
      </c>
      <c r="AN288" s="139">
        <v>18000</v>
      </c>
      <c r="AO288" s="139">
        <v>18000</v>
      </c>
      <c r="AP288" s="139">
        <v>18000</v>
      </c>
      <c r="AQ288" s="139">
        <v>18000</v>
      </c>
      <c r="AR288" s="139">
        <v>18000</v>
      </c>
      <c r="AS288" s="139">
        <v>18000</v>
      </c>
      <c r="AT288" s="139">
        <v>18000</v>
      </c>
      <c r="AU288" s="139">
        <v>18000</v>
      </c>
      <c r="AV288" s="140"/>
    </row>
    <row r="289" spans="2:48" ht="15.75" customHeight="1" x14ac:dyDescent="0.2">
      <c r="B289" s="136" t="s">
        <v>270</v>
      </c>
      <c r="C289" s="137">
        <v>0</v>
      </c>
      <c r="D289" s="138">
        <v>0</v>
      </c>
      <c r="E289" s="139">
        <v>0</v>
      </c>
      <c r="F289" s="139">
        <v>0</v>
      </c>
      <c r="G289" s="139">
        <v>0</v>
      </c>
      <c r="H289" s="139">
        <v>0</v>
      </c>
      <c r="I289" s="139">
        <v>0</v>
      </c>
      <c r="J289" s="139">
        <v>0</v>
      </c>
      <c r="K289" s="139">
        <v>0</v>
      </c>
      <c r="L289" s="139">
        <v>0</v>
      </c>
      <c r="M289" s="139">
        <v>0</v>
      </c>
      <c r="N289" s="139">
        <v>0</v>
      </c>
      <c r="O289" s="139">
        <v>0</v>
      </c>
      <c r="P289" s="139">
        <v>0</v>
      </c>
      <c r="Q289" s="139">
        <v>0</v>
      </c>
      <c r="R289" s="139">
        <v>0</v>
      </c>
      <c r="S289" s="139">
        <v>0</v>
      </c>
      <c r="T289" s="139">
        <v>0</v>
      </c>
      <c r="U289" s="139">
        <v>0</v>
      </c>
      <c r="V289" s="139">
        <v>0</v>
      </c>
      <c r="W289" s="139">
        <v>0</v>
      </c>
      <c r="X289" s="139">
        <v>0</v>
      </c>
      <c r="Y289" s="139">
        <v>0</v>
      </c>
      <c r="Z289" s="139">
        <v>0</v>
      </c>
      <c r="AA289" s="139">
        <v>0</v>
      </c>
      <c r="AB289" s="139">
        <v>0</v>
      </c>
      <c r="AC289" s="139">
        <v>0</v>
      </c>
      <c r="AD289" s="139">
        <v>0</v>
      </c>
      <c r="AE289" s="139">
        <v>0</v>
      </c>
      <c r="AF289" s="139">
        <v>0</v>
      </c>
      <c r="AG289" s="139">
        <v>0</v>
      </c>
      <c r="AH289" s="139">
        <v>0</v>
      </c>
      <c r="AI289" s="139">
        <v>0</v>
      </c>
      <c r="AJ289" s="139">
        <v>0</v>
      </c>
      <c r="AK289" s="139">
        <v>0</v>
      </c>
      <c r="AL289" s="139">
        <v>0</v>
      </c>
      <c r="AM289" s="139">
        <v>19800</v>
      </c>
      <c r="AN289" s="139">
        <v>19800</v>
      </c>
      <c r="AO289" s="139">
        <v>19800</v>
      </c>
      <c r="AP289" s="139">
        <v>19800</v>
      </c>
      <c r="AQ289" s="139">
        <v>19800</v>
      </c>
      <c r="AR289" s="139">
        <v>19800</v>
      </c>
      <c r="AS289" s="139">
        <v>19800</v>
      </c>
      <c r="AT289" s="139">
        <v>19800</v>
      </c>
      <c r="AU289" s="139">
        <v>19800</v>
      </c>
      <c r="AV289" s="140"/>
    </row>
    <row r="290" spans="2:48" ht="15.75" customHeight="1" x14ac:dyDescent="0.2">
      <c r="B290" s="136" t="s">
        <v>271</v>
      </c>
      <c r="C290" s="137">
        <v>0</v>
      </c>
      <c r="D290" s="138">
        <v>0</v>
      </c>
      <c r="E290" s="139">
        <v>0</v>
      </c>
      <c r="F290" s="139">
        <v>0</v>
      </c>
      <c r="G290" s="139">
        <v>0</v>
      </c>
      <c r="H290" s="139">
        <v>0</v>
      </c>
      <c r="I290" s="139">
        <v>0</v>
      </c>
      <c r="J290" s="139">
        <v>0</v>
      </c>
      <c r="K290" s="139">
        <v>0</v>
      </c>
      <c r="L290" s="139">
        <v>0</v>
      </c>
      <c r="M290" s="139">
        <v>0</v>
      </c>
      <c r="N290" s="139">
        <v>0</v>
      </c>
      <c r="O290" s="139">
        <v>0</v>
      </c>
      <c r="P290" s="139">
        <v>0</v>
      </c>
      <c r="Q290" s="139">
        <v>0</v>
      </c>
      <c r="R290" s="139">
        <v>0</v>
      </c>
      <c r="S290" s="139">
        <v>0</v>
      </c>
      <c r="T290" s="139">
        <v>0</v>
      </c>
      <c r="U290" s="139">
        <v>0</v>
      </c>
      <c r="V290" s="139">
        <v>0</v>
      </c>
      <c r="W290" s="139">
        <v>0</v>
      </c>
      <c r="X290" s="139">
        <v>0</v>
      </c>
      <c r="Y290" s="139">
        <v>0</v>
      </c>
      <c r="Z290" s="139">
        <v>0</v>
      </c>
      <c r="AA290" s="139">
        <v>0</v>
      </c>
      <c r="AB290" s="139">
        <v>0</v>
      </c>
      <c r="AC290" s="139">
        <v>0</v>
      </c>
      <c r="AD290" s="139">
        <v>0</v>
      </c>
      <c r="AE290" s="139">
        <v>0</v>
      </c>
      <c r="AF290" s="139">
        <v>0</v>
      </c>
      <c r="AG290" s="139">
        <v>0</v>
      </c>
      <c r="AH290" s="139">
        <v>0</v>
      </c>
      <c r="AI290" s="139">
        <v>0</v>
      </c>
      <c r="AJ290" s="139">
        <v>0</v>
      </c>
      <c r="AK290" s="139">
        <v>0</v>
      </c>
      <c r="AL290" s="139">
        <v>0</v>
      </c>
      <c r="AM290" s="139">
        <v>9600</v>
      </c>
      <c r="AN290" s="139">
        <v>9600</v>
      </c>
      <c r="AO290" s="139">
        <v>9600</v>
      </c>
      <c r="AP290" s="139">
        <v>9600</v>
      </c>
      <c r="AQ290" s="139">
        <v>9600</v>
      </c>
      <c r="AR290" s="139">
        <v>9600</v>
      </c>
      <c r="AS290" s="139">
        <v>9600</v>
      </c>
      <c r="AT290" s="139">
        <v>9600</v>
      </c>
      <c r="AU290" s="139">
        <v>9600</v>
      </c>
      <c r="AV290" s="140"/>
    </row>
    <row r="291" spans="2:48" ht="15.75" customHeight="1" x14ac:dyDescent="0.2">
      <c r="B291" s="136" t="s">
        <v>272</v>
      </c>
      <c r="C291" s="137">
        <v>0</v>
      </c>
      <c r="D291" s="138">
        <v>0</v>
      </c>
      <c r="E291" s="139">
        <v>0</v>
      </c>
      <c r="F291" s="139">
        <v>0</v>
      </c>
      <c r="G291" s="139">
        <v>0</v>
      </c>
      <c r="H291" s="139">
        <v>0</v>
      </c>
      <c r="I291" s="139">
        <v>0</v>
      </c>
      <c r="J291" s="139">
        <v>0</v>
      </c>
      <c r="K291" s="139">
        <v>0</v>
      </c>
      <c r="L291" s="139">
        <v>0</v>
      </c>
      <c r="M291" s="139">
        <v>0</v>
      </c>
      <c r="N291" s="139">
        <v>0</v>
      </c>
      <c r="O291" s="139">
        <v>0</v>
      </c>
      <c r="P291" s="139">
        <v>0</v>
      </c>
      <c r="Q291" s="139">
        <v>0</v>
      </c>
      <c r="R291" s="139">
        <v>0</v>
      </c>
      <c r="S291" s="139">
        <v>0</v>
      </c>
      <c r="T291" s="139">
        <v>0</v>
      </c>
      <c r="U291" s="139">
        <v>0</v>
      </c>
      <c r="V291" s="139">
        <v>0</v>
      </c>
      <c r="W291" s="139">
        <v>0</v>
      </c>
      <c r="X291" s="139">
        <v>0</v>
      </c>
      <c r="Y291" s="139">
        <v>0</v>
      </c>
      <c r="Z291" s="139">
        <v>0</v>
      </c>
      <c r="AA291" s="139">
        <v>0</v>
      </c>
      <c r="AB291" s="139">
        <v>0</v>
      </c>
      <c r="AC291" s="139">
        <v>0</v>
      </c>
      <c r="AD291" s="139">
        <v>0</v>
      </c>
      <c r="AE291" s="139">
        <v>0</v>
      </c>
      <c r="AF291" s="139">
        <v>0</v>
      </c>
      <c r="AG291" s="139">
        <v>0</v>
      </c>
      <c r="AH291" s="139">
        <v>0</v>
      </c>
      <c r="AI291" s="139">
        <v>0</v>
      </c>
      <c r="AJ291" s="139">
        <v>0</v>
      </c>
      <c r="AK291" s="139">
        <v>0</v>
      </c>
      <c r="AL291" s="139">
        <v>0</v>
      </c>
      <c r="AM291" s="139">
        <v>8000</v>
      </c>
      <c r="AN291" s="139">
        <v>8000</v>
      </c>
      <c r="AO291" s="139">
        <v>8000</v>
      </c>
      <c r="AP291" s="139">
        <v>8000</v>
      </c>
      <c r="AQ291" s="139">
        <v>8000</v>
      </c>
      <c r="AR291" s="139">
        <v>8000</v>
      </c>
      <c r="AS291" s="139">
        <v>8000</v>
      </c>
      <c r="AT291" s="139">
        <v>8000</v>
      </c>
      <c r="AU291" s="139">
        <v>8000</v>
      </c>
      <c r="AV291" s="140"/>
    </row>
    <row r="292" spans="2:48" ht="15.75" customHeight="1" x14ac:dyDescent="0.2">
      <c r="B292" s="136" t="s">
        <v>273</v>
      </c>
      <c r="C292" s="137">
        <v>0</v>
      </c>
      <c r="D292" s="138">
        <v>0</v>
      </c>
      <c r="E292" s="139">
        <v>0</v>
      </c>
      <c r="F292" s="139">
        <v>0</v>
      </c>
      <c r="G292" s="139">
        <v>0</v>
      </c>
      <c r="H292" s="139">
        <v>0</v>
      </c>
      <c r="I292" s="139">
        <v>0</v>
      </c>
      <c r="J292" s="139">
        <v>0</v>
      </c>
      <c r="K292" s="139">
        <v>0</v>
      </c>
      <c r="L292" s="139">
        <v>0</v>
      </c>
      <c r="M292" s="139">
        <v>0</v>
      </c>
      <c r="N292" s="139">
        <v>0</v>
      </c>
      <c r="O292" s="139">
        <v>0</v>
      </c>
      <c r="P292" s="139">
        <v>0</v>
      </c>
      <c r="Q292" s="139">
        <v>0</v>
      </c>
      <c r="R292" s="139">
        <v>0</v>
      </c>
      <c r="S292" s="139">
        <v>0</v>
      </c>
      <c r="T292" s="139">
        <v>0</v>
      </c>
      <c r="U292" s="139">
        <v>0</v>
      </c>
      <c r="V292" s="139">
        <v>0</v>
      </c>
      <c r="W292" s="139">
        <v>0</v>
      </c>
      <c r="X292" s="139">
        <v>0</v>
      </c>
      <c r="Y292" s="139">
        <v>0</v>
      </c>
      <c r="Z292" s="139">
        <v>0</v>
      </c>
      <c r="AA292" s="139">
        <v>0</v>
      </c>
      <c r="AB292" s="139">
        <v>0</v>
      </c>
      <c r="AC292" s="139">
        <v>0</v>
      </c>
      <c r="AD292" s="139">
        <v>0</v>
      </c>
      <c r="AE292" s="139">
        <v>0</v>
      </c>
      <c r="AF292" s="139">
        <v>0</v>
      </c>
      <c r="AG292" s="139">
        <v>0</v>
      </c>
      <c r="AH292" s="139">
        <v>0</v>
      </c>
      <c r="AI292" s="139">
        <v>0</v>
      </c>
      <c r="AJ292" s="139">
        <v>0</v>
      </c>
      <c r="AK292" s="139">
        <v>0</v>
      </c>
      <c r="AL292" s="139">
        <v>0</v>
      </c>
      <c r="AM292" s="139">
        <v>12936</v>
      </c>
      <c r="AN292" s="139">
        <v>12936</v>
      </c>
      <c r="AO292" s="139">
        <v>12936</v>
      </c>
      <c r="AP292" s="139">
        <v>12936</v>
      </c>
      <c r="AQ292" s="139">
        <v>12936</v>
      </c>
      <c r="AR292" s="139">
        <v>12936</v>
      </c>
      <c r="AS292" s="139">
        <v>12936</v>
      </c>
      <c r="AT292" s="139">
        <v>12936</v>
      </c>
      <c r="AU292" s="139">
        <v>12936</v>
      </c>
      <c r="AV292" s="140"/>
    </row>
    <row r="293" spans="2:48" ht="15.75" customHeight="1" x14ac:dyDescent="0.2">
      <c r="B293" s="136" t="s">
        <v>274</v>
      </c>
      <c r="C293" s="137">
        <v>0</v>
      </c>
      <c r="D293" s="138">
        <v>0</v>
      </c>
      <c r="E293" s="139">
        <v>0</v>
      </c>
      <c r="F293" s="139">
        <v>0</v>
      </c>
      <c r="G293" s="139">
        <v>0</v>
      </c>
      <c r="H293" s="139">
        <v>0</v>
      </c>
      <c r="I293" s="139">
        <v>0</v>
      </c>
      <c r="J293" s="139">
        <v>0</v>
      </c>
      <c r="K293" s="139">
        <v>0</v>
      </c>
      <c r="L293" s="139">
        <v>0</v>
      </c>
      <c r="M293" s="139">
        <v>0</v>
      </c>
      <c r="N293" s="139">
        <v>0</v>
      </c>
      <c r="O293" s="139">
        <v>0</v>
      </c>
      <c r="P293" s="139">
        <v>0</v>
      </c>
      <c r="Q293" s="139">
        <v>0</v>
      </c>
      <c r="R293" s="139">
        <v>0</v>
      </c>
      <c r="S293" s="139">
        <v>0</v>
      </c>
      <c r="T293" s="139">
        <v>0</v>
      </c>
      <c r="U293" s="139">
        <v>0</v>
      </c>
      <c r="V293" s="139">
        <v>0</v>
      </c>
      <c r="W293" s="139">
        <v>0</v>
      </c>
      <c r="X293" s="139">
        <v>0</v>
      </c>
      <c r="Y293" s="139">
        <v>0</v>
      </c>
      <c r="Z293" s="139">
        <v>0</v>
      </c>
      <c r="AA293" s="139">
        <v>0</v>
      </c>
      <c r="AB293" s="139">
        <v>0</v>
      </c>
      <c r="AC293" s="139">
        <v>0</v>
      </c>
      <c r="AD293" s="139">
        <v>0</v>
      </c>
      <c r="AE293" s="139">
        <v>0</v>
      </c>
      <c r="AF293" s="139">
        <v>0</v>
      </c>
      <c r="AG293" s="139">
        <v>0</v>
      </c>
      <c r="AH293" s="139">
        <v>0</v>
      </c>
      <c r="AI293" s="139">
        <v>0</v>
      </c>
      <c r="AJ293" s="139">
        <v>0</v>
      </c>
      <c r="AK293" s="139">
        <v>0</v>
      </c>
      <c r="AL293" s="139">
        <v>0</v>
      </c>
      <c r="AM293" s="139">
        <v>14400</v>
      </c>
      <c r="AN293" s="139">
        <v>14400</v>
      </c>
      <c r="AO293" s="139">
        <v>14400</v>
      </c>
      <c r="AP293" s="139">
        <v>14400</v>
      </c>
      <c r="AQ293" s="139">
        <v>14400</v>
      </c>
      <c r="AR293" s="139">
        <v>14400</v>
      </c>
      <c r="AS293" s="139">
        <v>14400</v>
      </c>
      <c r="AT293" s="139">
        <v>14400</v>
      </c>
      <c r="AU293" s="139">
        <v>14400</v>
      </c>
      <c r="AV293" s="140"/>
    </row>
    <row r="294" spans="2:48" ht="15.75" customHeight="1" x14ac:dyDescent="0.2">
      <c r="B294" s="136" t="s">
        <v>275</v>
      </c>
      <c r="C294" s="137">
        <v>0</v>
      </c>
      <c r="D294" s="138">
        <v>0</v>
      </c>
      <c r="E294" s="139">
        <v>0</v>
      </c>
      <c r="F294" s="139">
        <v>0</v>
      </c>
      <c r="G294" s="139">
        <v>0</v>
      </c>
      <c r="H294" s="139">
        <v>0</v>
      </c>
      <c r="I294" s="139">
        <v>0</v>
      </c>
      <c r="J294" s="139">
        <v>0</v>
      </c>
      <c r="K294" s="139">
        <v>0</v>
      </c>
      <c r="L294" s="139">
        <v>0</v>
      </c>
      <c r="M294" s="139">
        <v>0</v>
      </c>
      <c r="N294" s="139">
        <v>0</v>
      </c>
      <c r="O294" s="139">
        <v>0</v>
      </c>
      <c r="P294" s="139">
        <v>0</v>
      </c>
      <c r="Q294" s="139">
        <v>0</v>
      </c>
      <c r="R294" s="139">
        <v>0</v>
      </c>
      <c r="S294" s="139">
        <v>0</v>
      </c>
      <c r="T294" s="139">
        <v>0</v>
      </c>
      <c r="U294" s="139">
        <v>0</v>
      </c>
      <c r="V294" s="139">
        <v>0</v>
      </c>
      <c r="W294" s="139">
        <v>0</v>
      </c>
      <c r="X294" s="139">
        <v>0</v>
      </c>
      <c r="Y294" s="139">
        <v>0</v>
      </c>
      <c r="Z294" s="139">
        <v>0</v>
      </c>
      <c r="AA294" s="139">
        <v>0</v>
      </c>
      <c r="AB294" s="139">
        <v>0</v>
      </c>
      <c r="AC294" s="139">
        <v>0</v>
      </c>
      <c r="AD294" s="139">
        <v>0</v>
      </c>
      <c r="AE294" s="139">
        <v>0</v>
      </c>
      <c r="AF294" s="139">
        <v>0</v>
      </c>
      <c r="AG294" s="139">
        <v>0</v>
      </c>
      <c r="AH294" s="139">
        <v>0</v>
      </c>
      <c r="AI294" s="139">
        <v>0</v>
      </c>
      <c r="AJ294" s="139">
        <v>0</v>
      </c>
      <c r="AK294" s="139">
        <v>0</v>
      </c>
      <c r="AL294" s="139">
        <v>0</v>
      </c>
      <c r="AM294" s="139">
        <v>14400</v>
      </c>
      <c r="AN294" s="139">
        <v>14400</v>
      </c>
      <c r="AO294" s="139">
        <v>14400</v>
      </c>
      <c r="AP294" s="139">
        <v>14400</v>
      </c>
      <c r="AQ294" s="139">
        <v>14400</v>
      </c>
      <c r="AR294" s="139">
        <v>14400</v>
      </c>
      <c r="AS294" s="139">
        <v>14400</v>
      </c>
      <c r="AT294" s="139">
        <v>14400</v>
      </c>
      <c r="AU294" s="139">
        <v>14400</v>
      </c>
      <c r="AV294" s="140"/>
    </row>
    <row r="295" spans="2:48" ht="15.75" customHeight="1" x14ac:dyDescent="0.2">
      <c r="B295" s="136" t="s">
        <v>276</v>
      </c>
      <c r="C295" s="137">
        <v>0</v>
      </c>
      <c r="D295" s="138">
        <v>0</v>
      </c>
      <c r="E295" s="139">
        <v>0</v>
      </c>
      <c r="F295" s="139">
        <v>0</v>
      </c>
      <c r="G295" s="139">
        <v>0</v>
      </c>
      <c r="H295" s="139">
        <v>0</v>
      </c>
      <c r="I295" s="139">
        <v>0</v>
      </c>
      <c r="J295" s="139">
        <v>0</v>
      </c>
      <c r="K295" s="139">
        <v>0</v>
      </c>
      <c r="L295" s="139">
        <v>0</v>
      </c>
      <c r="M295" s="139">
        <v>0</v>
      </c>
      <c r="N295" s="139">
        <v>0</v>
      </c>
      <c r="O295" s="139">
        <v>0</v>
      </c>
      <c r="P295" s="139">
        <v>0</v>
      </c>
      <c r="Q295" s="139">
        <v>0</v>
      </c>
      <c r="R295" s="139">
        <v>0</v>
      </c>
      <c r="S295" s="139">
        <v>0</v>
      </c>
      <c r="T295" s="139">
        <v>0</v>
      </c>
      <c r="U295" s="139">
        <v>0</v>
      </c>
      <c r="V295" s="139">
        <v>0</v>
      </c>
      <c r="W295" s="139">
        <v>0</v>
      </c>
      <c r="X295" s="139">
        <v>0</v>
      </c>
      <c r="Y295" s="139">
        <v>0</v>
      </c>
      <c r="Z295" s="139">
        <v>0</v>
      </c>
      <c r="AA295" s="139">
        <v>0</v>
      </c>
      <c r="AB295" s="139">
        <v>0</v>
      </c>
      <c r="AC295" s="139">
        <v>0</v>
      </c>
      <c r="AD295" s="139">
        <v>0</v>
      </c>
      <c r="AE295" s="139">
        <v>0</v>
      </c>
      <c r="AF295" s="139">
        <v>0</v>
      </c>
      <c r="AG295" s="139">
        <v>0</v>
      </c>
      <c r="AH295" s="139">
        <v>0</v>
      </c>
      <c r="AI295" s="139">
        <v>0</v>
      </c>
      <c r="AJ295" s="139">
        <v>0</v>
      </c>
      <c r="AK295" s="139">
        <v>0</v>
      </c>
      <c r="AL295" s="139">
        <v>0</v>
      </c>
      <c r="AM295" s="139">
        <v>24000</v>
      </c>
      <c r="AN295" s="139">
        <v>24000</v>
      </c>
      <c r="AO295" s="139">
        <v>24000</v>
      </c>
      <c r="AP295" s="139">
        <v>24000</v>
      </c>
      <c r="AQ295" s="139">
        <v>24000</v>
      </c>
      <c r="AR295" s="139">
        <v>24000</v>
      </c>
      <c r="AS295" s="139">
        <v>24000</v>
      </c>
      <c r="AT295" s="139">
        <v>24000</v>
      </c>
      <c r="AU295" s="139">
        <v>24000</v>
      </c>
      <c r="AV295" s="140"/>
    </row>
    <row r="296" spans="2:48" ht="15.75" customHeight="1" x14ac:dyDescent="0.2">
      <c r="B296" s="136" t="s">
        <v>277</v>
      </c>
      <c r="C296" s="137">
        <v>0</v>
      </c>
      <c r="D296" s="138">
        <v>0</v>
      </c>
      <c r="E296" s="139">
        <v>0</v>
      </c>
      <c r="F296" s="139">
        <v>0</v>
      </c>
      <c r="G296" s="139">
        <v>0</v>
      </c>
      <c r="H296" s="139">
        <v>0</v>
      </c>
      <c r="I296" s="139">
        <v>0</v>
      </c>
      <c r="J296" s="139">
        <v>0</v>
      </c>
      <c r="K296" s="139">
        <v>0</v>
      </c>
      <c r="L296" s="139">
        <v>0</v>
      </c>
      <c r="M296" s="139">
        <v>0</v>
      </c>
      <c r="N296" s="139">
        <v>0</v>
      </c>
      <c r="O296" s="139">
        <v>0</v>
      </c>
      <c r="P296" s="139">
        <v>0</v>
      </c>
      <c r="Q296" s="139">
        <v>0</v>
      </c>
      <c r="R296" s="139">
        <v>0</v>
      </c>
      <c r="S296" s="139">
        <v>0</v>
      </c>
      <c r="T296" s="139">
        <v>0</v>
      </c>
      <c r="U296" s="139">
        <v>0</v>
      </c>
      <c r="V296" s="139">
        <v>0</v>
      </c>
      <c r="W296" s="139">
        <v>0</v>
      </c>
      <c r="X296" s="139">
        <v>0</v>
      </c>
      <c r="Y296" s="139">
        <v>0</v>
      </c>
      <c r="Z296" s="139">
        <v>0</v>
      </c>
      <c r="AA296" s="139">
        <v>0</v>
      </c>
      <c r="AB296" s="139">
        <v>0</v>
      </c>
      <c r="AC296" s="139">
        <v>0</v>
      </c>
      <c r="AD296" s="139">
        <v>0</v>
      </c>
      <c r="AE296" s="139">
        <v>0</v>
      </c>
      <c r="AF296" s="139">
        <v>0</v>
      </c>
      <c r="AG296" s="139">
        <v>0</v>
      </c>
      <c r="AH296" s="139">
        <v>0</v>
      </c>
      <c r="AI296" s="139">
        <v>0</v>
      </c>
      <c r="AJ296" s="139">
        <v>0</v>
      </c>
      <c r="AK296" s="139">
        <v>0</v>
      </c>
      <c r="AL296" s="139">
        <v>0</v>
      </c>
      <c r="AM296" s="139">
        <v>0</v>
      </c>
      <c r="AN296" s="139">
        <v>12000</v>
      </c>
      <c r="AO296" s="139">
        <v>12000</v>
      </c>
      <c r="AP296" s="139">
        <v>12000</v>
      </c>
      <c r="AQ296" s="139">
        <v>12000</v>
      </c>
      <c r="AR296" s="139">
        <v>12000</v>
      </c>
      <c r="AS296" s="139">
        <v>12000</v>
      </c>
      <c r="AT296" s="139">
        <v>12000</v>
      </c>
      <c r="AU296" s="139">
        <v>12000</v>
      </c>
      <c r="AV296" s="140"/>
    </row>
    <row r="297" spans="2:48" ht="15.75" customHeight="1" x14ac:dyDescent="0.2">
      <c r="B297" s="136" t="s">
        <v>278</v>
      </c>
      <c r="C297" s="137">
        <v>0</v>
      </c>
      <c r="D297" s="138">
        <v>0</v>
      </c>
      <c r="E297" s="139">
        <v>0</v>
      </c>
      <c r="F297" s="139">
        <v>0</v>
      </c>
      <c r="G297" s="139">
        <v>0</v>
      </c>
      <c r="H297" s="139">
        <v>0</v>
      </c>
      <c r="I297" s="139">
        <v>0</v>
      </c>
      <c r="J297" s="139">
        <v>0</v>
      </c>
      <c r="K297" s="139">
        <v>0</v>
      </c>
      <c r="L297" s="139">
        <v>0</v>
      </c>
      <c r="M297" s="139">
        <v>0</v>
      </c>
      <c r="N297" s="139">
        <v>0</v>
      </c>
      <c r="O297" s="139">
        <v>0</v>
      </c>
      <c r="P297" s="139">
        <v>0</v>
      </c>
      <c r="Q297" s="139">
        <v>0</v>
      </c>
      <c r="R297" s="139">
        <v>0</v>
      </c>
      <c r="S297" s="139">
        <v>0</v>
      </c>
      <c r="T297" s="139">
        <v>0</v>
      </c>
      <c r="U297" s="139">
        <v>0</v>
      </c>
      <c r="V297" s="139">
        <v>0</v>
      </c>
      <c r="W297" s="139">
        <v>0</v>
      </c>
      <c r="X297" s="139">
        <v>0</v>
      </c>
      <c r="Y297" s="139">
        <v>0</v>
      </c>
      <c r="Z297" s="139">
        <v>0</v>
      </c>
      <c r="AA297" s="139">
        <v>0</v>
      </c>
      <c r="AB297" s="139">
        <v>0</v>
      </c>
      <c r="AC297" s="139">
        <v>0</v>
      </c>
      <c r="AD297" s="139">
        <v>0</v>
      </c>
      <c r="AE297" s="139">
        <v>0</v>
      </c>
      <c r="AF297" s="139">
        <v>0</v>
      </c>
      <c r="AG297" s="139">
        <v>0</v>
      </c>
      <c r="AH297" s="139">
        <v>0</v>
      </c>
      <c r="AI297" s="139">
        <v>0</v>
      </c>
      <c r="AJ297" s="139">
        <v>0</v>
      </c>
      <c r="AK297" s="139">
        <v>0</v>
      </c>
      <c r="AL297" s="139">
        <v>0</v>
      </c>
      <c r="AM297" s="139">
        <v>0</v>
      </c>
      <c r="AN297" s="139">
        <v>24144</v>
      </c>
      <c r="AO297" s="139">
        <v>24144</v>
      </c>
      <c r="AP297" s="139">
        <v>24144</v>
      </c>
      <c r="AQ297" s="139">
        <v>24144</v>
      </c>
      <c r="AR297" s="139">
        <v>24144</v>
      </c>
      <c r="AS297" s="139">
        <v>24144</v>
      </c>
      <c r="AT297" s="139">
        <v>24144</v>
      </c>
      <c r="AU297" s="139">
        <v>24144</v>
      </c>
      <c r="AV297" s="140"/>
    </row>
    <row r="298" spans="2:48" ht="15.75" customHeight="1" x14ac:dyDescent="0.2">
      <c r="B298" s="136" t="s">
        <v>279</v>
      </c>
      <c r="C298" s="137">
        <v>0</v>
      </c>
      <c r="D298" s="138">
        <v>0</v>
      </c>
      <c r="E298" s="139">
        <v>0</v>
      </c>
      <c r="F298" s="139">
        <v>0</v>
      </c>
      <c r="G298" s="139">
        <v>0</v>
      </c>
      <c r="H298" s="139">
        <v>0</v>
      </c>
      <c r="I298" s="139">
        <v>0</v>
      </c>
      <c r="J298" s="139">
        <v>0</v>
      </c>
      <c r="K298" s="139">
        <v>0</v>
      </c>
      <c r="L298" s="139">
        <v>0</v>
      </c>
      <c r="M298" s="139">
        <v>0</v>
      </c>
      <c r="N298" s="139">
        <v>0</v>
      </c>
      <c r="O298" s="139">
        <v>0</v>
      </c>
      <c r="P298" s="139">
        <v>0</v>
      </c>
      <c r="Q298" s="139">
        <v>0</v>
      </c>
      <c r="R298" s="139">
        <v>0</v>
      </c>
      <c r="S298" s="139">
        <v>0</v>
      </c>
      <c r="T298" s="139">
        <v>0</v>
      </c>
      <c r="U298" s="139">
        <v>0</v>
      </c>
      <c r="V298" s="139">
        <v>0</v>
      </c>
      <c r="W298" s="139">
        <v>0</v>
      </c>
      <c r="X298" s="139">
        <v>0</v>
      </c>
      <c r="Y298" s="139">
        <v>0</v>
      </c>
      <c r="Z298" s="139">
        <v>0</v>
      </c>
      <c r="AA298" s="139">
        <v>0</v>
      </c>
      <c r="AB298" s="139">
        <v>0</v>
      </c>
      <c r="AC298" s="139">
        <v>0</v>
      </c>
      <c r="AD298" s="139">
        <v>0</v>
      </c>
      <c r="AE298" s="139">
        <v>0</v>
      </c>
      <c r="AF298" s="139">
        <v>0</v>
      </c>
      <c r="AG298" s="139">
        <v>0</v>
      </c>
      <c r="AH298" s="139">
        <v>0</v>
      </c>
      <c r="AI298" s="139">
        <v>0</v>
      </c>
      <c r="AJ298" s="139">
        <v>0</v>
      </c>
      <c r="AK298" s="139">
        <v>0</v>
      </c>
      <c r="AL298" s="139">
        <v>0</v>
      </c>
      <c r="AM298" s="139">
        <v>0</v>
      </c>
      <c r="AN298" s="139">
        <v>12000</v>
      </c>
      <c r="AO298" s="139">
        <v>12000</v>
      </c>
      <c r="AP298" s="139">
        <v>12000</v>
      </c>
      <c r="AQ298" s="139">
        <v>12000</v>
      </c>
      <c r="AR298" s="139">
        <v>12000</v>
      </c>
      <c r="AS298" s="139">
        <v>12000</v>
      </c>
      <c r="AT298" s="139">
        <v>12000</v>
      </c>
      <c r="AU298" s="139">
        <v>12000</v>
      </c>
      <c r="AV298" s="140"/>
    </row>
    <row r="299" spans="2:48" ht="15.75" customHeight="1" x14ac:dyDescent="0.2">
      <c r="B299" s="136" t="s">
        <v>280</v>
      </c>
      <c r="C299" s="137">
        <v>0</v>
      </c>
      <c r="D299" s="138">
        <v>0</v>
      </c>
      <c r="E299" s="139">
        <v>0</v>
      </c>
      <c r="F299" s="139">
        <v>0</v>
      </c>
      <c r="G299" s="139">
        <v>0</v>
      </c>
      <c r="H299" s="139">
        <v>0</v>
      </c>
      <c r="I299" s="139">
        <v>0</v>
      </c>
      <c r="J299" s="139">
        <v>0</v>
      </c>
      <c r="K299" s="139">
        <v>0</v>
      </c>
      <c r="L299" s="139">
        <v>0</v>
      </c>
      <c r="M299" s="139">
        <v>0</v>
      </c>
      <c r="N299" s="139">
        <v>0</v>
      </c>
      <c r="O299" s="139">
        <v>0</v>
      </c>
      <c r="P299" s="139">
        <v>0</v>
      </c>
      <c r="Q299" s="139">
        <v>0</v>
      </c>
      <c r="R299" s="139">
        <v>0</v>
      </c>
      <c r="S299" s="139">
        <v>0</v>
      </c>
      <c r="T299" s="139">
        <v>0</v>
      </c>
      <c r="U299" s="139">
        <v>0</v>
      </c>
      <c r="V299" s="139">
        <v>0</v>
      </c>
      <c r="W299" s="139">
        <v>0</v>
      </c>
      <c r="X299" s="139">
        <v>0</v>
      </c>
      <c r="Y299" s="139">
        <v>0</v>
      </c>
      <c r="Z299" s="139">
        <v>0</v>
      </c>
      <c r="AA299" s="139">
        <v>0</v>
      </c>
      <c r="AB299" s="139">
        <v>0</v>
      </c>
      <c r="AC299" s="139">
        <v>0</v>
      </c>
      <c r="AD299" s="139">
        <v>0</v>
      </c>
      <c r="AE299" s="139">
        <v>0</v>
      </c>
      <c r="AF299" s="139">
        <v>0</v>
      </c>
      <c r="AG299" s="139">
        <v>0</v>
      </c>
      <c r="AH299" s="139">
        <v>0</v>
      </c>
      <c r="AI299" s="139">
        <v>0</v>
      </c>
      <c r="AJ299" s="139">
        <v>0</v>
      </c>
      <c r="AK299" s="139">
        <v>0</v>
      </c>
      <c r="AL299" s="139">
        <v>0</v>
      </c>
      <c r="AM299" s="139">
        <v>0</v>
      </c>
      <c r="AN299" s="139">
        <v>14280</v>
      </c>
      <c r="AO299" s="139">
        <v>14280</v>
      </c>
      <c r="AP299" s="139">
        <v>14280</v>
      </c>
      <c r="AQ299" s="139">
        <v>14280</v>
      </c>
      <c r="AR299" s="139">
        <v>14280</v>
      </c>
      <c r="AS299" s="139">
        <v>14280</v>
      </c>
      <c r="AT299" s="139">
        <v>14280</v>
      </c>
      <c r="AU299" s="139">
        <v>14280</v>
      </c>
      <c r="AV299" s="140"/>
    </row>
    <row r="300" spans="2:48" ht="15.75" customHeight="1" x14ac:dyDescent="0.2">
      <c r="B300" s="136" t="s">
        <v>281</v>
      </c>
      <c r="C300" s="137">
        <v>0</v>
      </c>
      <c r="D300" s="138">
        <v>0</v>
      </c>
      <c r="E300" s="139">
        <v>0</v>
      </c>
      <c r="F300" s="139">
        <v>0</v>
      </c>
      <c r="G300" s="139">
        <v>0</v>
      </c>
      <c r="H300" s="139">
        <v>0</v>
      </c>
      <c r="I300" s="139">
        <v>0</v>
      </c>
      <c r="J300" s="139">
        <v>0</v>
      </c>
      <c r="K300" s="139">
        <v>0</v>
      </c>
      <c r="L300" s="139">
        <v>0</v>
      </c>
      <c r="M300" s="139">
        <v>0</v>
      </c>
      <c r="N300" s="139">
        <v>0</v>
      </c>
      <c r="O300" s="139">
        <v>0</v>
      </c>
      <c r="P300" s="139">
        <v>0</v>
      </c>
      <c r="Q300" s="139">
        <v>0</v>
      </c>
      <c r="R300" s="139">
        <v>0</v>
      </c>
      <c r="S300" s="139">
        <v>0</v>
      </c>
      <c r="T300" s="139">
        <v>0</v>
      </c>
      <c r="U300" s="139">
        <v>0</v>
      </c>
      <c r="V300" s="139">
        <v>0</v>
      </c>
      <c r="W300" s="139">
        <v>0</v>
      </c>
      <c r="X300" s="139">
        <v>0</v>
      </c>
      <c r="Y300" s="139">
        <v>0</v>
      </c>
      <c r="Z300" s="139">
        <v>0</v>
      </c>
      <c r="AA300" s="139">
        <v>0</v>
      </c>
      <c r="AB300" s="139">
        <v>0</v>
      </c>
      <c r="AC300" s="139">
        <v>0</v>
      </c>
      <c r="AD300" s="139">
        <v>0</v>
      </c>
      <c r="AE300" s="139">
        <v>0</v>
      </c>
      <c r="AF300" s="139">
        <v>0</v>
      </c>
      <c r="AG300" s="139">
        <v>0</v>
      </c>
      <c r="AH300" s="139">
        <v>0</v>
      </c>
      <c r="AI300" s="139">
        <v>0</v>
      </c>
      <c r="AJ300" s="139">
        <v>0</v>
      </c>
      <c r="AK300" s="139">
        <v>0</v>
      </c>
      <c r="AL300" s="139">
        <v>0</v>
      </c>
      <c r="AM300" s="139">
        <v>0</v>
      </c>
      <c r="AN300" s="139">
        <v>10200</v>
      </c>
      <c r="AO300" s="139">
        <v>10200</v>
      </c>
      <c r="AP300" s="139">
        <v>10200</v>
      </c>
      <c r="AQ300" s="139">
        <v>10200</v>
      </c>
      <c r="AR300" s="139">
        <v>10200</v>
      </c>
      <c r="AS300" s="139">
        <v>10200</v>
      </c>
      <c r="AT300" s="139">
        <v>10200</v>
      </c>
      <c r="AU300" s="139">
        <v>10200</v>
      </c>
      <c r="AV300" s="140"/>
    </row>
    <row r="301" spans="2:48" ht="15.75" customHeight="1" x14ac:dyDescent="0.2">
      <c r="B301" s="136" t="s">
        <v>282</v>
      </c>
      <c r="C301" s="137">
        <v>0</v>
      </c>
      <c r="D301" s="138">
        <v>0</v>
      </c>
      <c r="E301" s="139">
        <v>0</v>
      </c>
      <c r="F301" s="139">
        <v>0</v>
      </c>
      <c r="G301" s="139">
        <v>0</v>
      </c>
      <c r="H301" s="139">
        <v>0</v>
      </c>
      <c r="I301" s="139">
        <v>0</v>
      </c>
      <c r="J301" s="139">
        <v>0</v>
      </c>
      <c r="K301" s="139">
        <v>0</v>
      </c>
      <c r="L301" s="139">
        <v>0</v>
      </c>
      <c r="M301" s="139">
        <v>0</v>
      </c>
      <c r="N301" s="139">
        <v>0</v>
      </c>
      <c r="O301" s="139">
        <v>0</v>
      </c>
      <c r="P301" s="139">
        <v>0</v>
      </c>
      <c r="Q301" s="139">
        <v>0</v>
      </c>
      <c r="R301" s="139">
        <v>0</v>
      </c>
      <c r="S301" s="139">
        <v>0</v>
      </c>
      <c r="T301" s="139">
        <v>0</v>
      </c>
      <c r="U301" s="139">
        <v>0</v>
      </c>
      <c r="V301" s="139">
        <v>0</v>
      </c>
      <c r="W301" s="139">
        <v>0</v>
      </c>
      <c r="X301" s="139">
        <v>0</v>
      </c>
      <c r="Y301" s="139">
        <v>0</v>
      </c>
      <c r="Z301" s="139">
        <v>0</v>
      </c>
      <c r="AA301" s="139">
        <v>0</v>
      </c>
      <c r="AB301" s="139">
        <v>0</v>
      </c>
      <c r="AC301" s="139">
        <v>0</v>
      </c>
      <c r="AD301" s="139">
        <v>0</v>
      </c>
      <c r="AE301" s="139">
        <v>0</v>
      </c>
      <c r="AF301" s="139">
        <v>0</v>
      </c>
      <c r="AG301" s="139">
        <v>0</v>
      </c>
      <c r="AH301" s="139">
        <v>0</v>
      </c>
      <c r="AI301" s="139">
        <v>0</v>
      </c>
      <c r="AJ301" s="139">
        <v>0</v>
      </c>
      <c r="AK301" s="139">
        <v>0</v>
      </c>
      <c r="AL301" s="139">
        <v>0</v>
      </c>
      <c r="AM301" s="139">
        <v>0</v>
      </c>
      <c r="AN301" s="139">
        <v>9600</v>
      </c>
      <c r="AO301" s="139">
        <v>9600</v>
      </c>
      <c r="AP301" s="139">
        <v>9600</v>
      </c>
      <c r="AQ301" s="139">
        <v>9600</v>
      </c>
      <c r="AR301" s="139">
        <v>9600</v>
      </c>
      <c r="AS301" s="139">
        <v>9600</v>
      </c>
      <c r="AT301" s="139">
        <v>9600</v>
      </c>
      <c r="AU301" s="139">
        <v>9600</v>
      </c>
      <c r="AV301" s="140"/>
    </row>
    <row r="302" spans="2:48" ht="15.75" customHeight="1" x14ac:dyDescent="0.2">
      <c r="B302" s="136" t="s">
        <v>283</v>
      </c>
      <c r="C302" s="137">
        <v>0</v>
      </c>
      <c r="D302" s="138">
        <v>0</v>
      </c>
      <c r="E302" s="139">
        <v>0</v>
      </c>
      <c r="F302" s="139">
        <v>0</v>
      </c>
      <c r="G302" s="139">
        <v>0</v>
      </c>
      <c r="H302" s="139">
        <v>0</v>
      </c>
      <c r="I302" s="139">
        <v>0</v>
      </c>
      <c r="J302" s="139">
        <v>0</v>
      </c>
      <c r="K302" s="139">
        <v>0</v>
      </c>
      <c r="L302" s="139">
        <v>0</v>
      </c>
      <c r="M302" s="139">
        <v>0</v>
      </c>
      <c r="N302" s="139">
        <v>0</v>
      </c>
      <c r="O302" s="139">
        <v>0</v>
      </c>
      <c r="P302" s="139">
        <v>0</v>
      </c>
      <c r="Q302" s="139">
        <v>0</v>
      </c>
      <c r="R302" s="139">
        <v>0</v>
      </c>
      <c r="S302" s="139">
        <v>0</v>
      </c>
      <c r="T302" s="139">
        <v>0</v>
      </c>
      <c r="U302" s="139">
        <v>0</v>
      </c>
      <c r="V302" s="139">
        <v>0</v>
      </c>
      <c r="W302" s="139">
        <v>0</v>
      </c>
      <c r="X302" s="139">
        <v>0</v>
      </c>
      <c r="Y302" s="139">
        <v>0</v>
      </c>
      <c r="Z302" s="139">
        <v>0</v>
      </c>
      <c r="AA302" s="139">
        <v>0</v>
      </c>
      <c r="AB302" s="139">
        <v>0</v>
      </c>
      <c r="AC302" s="139">
        <v>0</v>
      </c>
      <c r="AD302" s="139">
        <v>0</v>
      </c>
      <c r="AE302" s="139">
        <v>0</v>
      </c>
      <c r="AF302" s="139">
        <v>0</v>
      </c>
      <c r="AG302" s="139">
        <v>0</v>
      </c>
      <c r="AH302" s="139">
        <v>0</v>
      </c>
      <c r="AI302" s="139">
        <v>0</v>
      </c>
      <c r="AJ302" s="139">
        <v>0</v>
      </c>
      <c r="AK302" s="139">
        <v>0</v>
      </c>
      <c r="AL302" s="139">
        <v>0</v>
      </c>
      <c r="AM302" s="139">
        <v>0</v>
      </c>
      <c r="AN302" s="139">
        <v>14910</v>
      </c>
      <c r="AO302" s="139">
        <v>14910</v>
      </c>
      <c r="AP302" s="139">
        <v>14910</v>
      </c>
      <c r="AQ302" s="139">
        <v>14910</v>
      </c>
      <c r="AR302" s="139">
        <v>14910</v>
      </c>
      <c r="AS302" s="139">
        <v>14910</v>
      </c>
      <c r="AT302" s="139">
        <v>14910</v>
      </c>
      <c r="AU302" s="139">
        <v>14910</v>
      </c>
      <c r="AV302" s="140"/>
    </row>
    <row r="303" spans="2:48" ht="15.75" customHeight="1" x14ac:dyDescent="0.2">
      <c r="B303" s="136" t="s">
        <v>284</v>
      </c>
      <c r="C303" s="137">
        <v>0</v>
      </c>
      <c r="D303" s="138">
        <v>0</v>
      </c>
      <c r="E303" s="139">
        <v>0</v>
      </c>
      <c r="F303" s="139">
        <v>0</v>
      </c>
      <c r="G303" s="139">
        <v>0</v>
      </c>
      <c r="H303" s="139">
        <v>0</v>
      </c>
      <c r="I303" s="139">
        <v>0</v>
      </c>
      <c r="J303" s="139">
        <v>0</v>
      </c>
      <c r="K303" s="139">
        <v>0</v>
      </c>
      <c r="L303" s="139">
        <v>0</v>
      </c>
      <c r="M303" s="139">
        <v>0</v>
      </c>
      <c r="N303" s="139">
        <v>0</v>
      </c>
      <c r="O303" s="139">
        <v>0</v>
      </c>
      <c r="P303" s="139">
        <v>0</v>
      </c>
      <c r="Q303" s="139">
        <v>0</v>
      </c>
      <c r="R303" s="139">
        <v>0</v>
      </c>
      <c r="S303" s="139">
        <v>0</v>
      </c>
      <c r="T303" s="139">
        <v>0</v>
      </c>
      <c r="U303" s="139">
        <v>0</v>
      </c>
      <c r="V303" s="139">
        <v>0</v>
      </c>
      <c r="W303" s="139">
        <v>0</v>
      </c>
      <c r="X303" s="139">
        <v>0</v>
      </c>
      <c r="Y303" s="139">
        <v>0</v>
      </c>
      <c r="Z303" s="139">
        <v>0</v>
      </c>
      <c r="AA303" s="139">
        <v>0</v>
      </c>
      <c r="AB303" s="139">
        <v>0</v>
      </c>
      <c r="AC303" s="139">
        <v>0</v>
      </c>
      <c r="AD303" s="139">
        <v>0</v>
      </c>
      <c r="AE303" s="139">
        <v>0</v>
      </c>
      <c r="AF303" s="139">
        <v>0</v>
      </c>
      <c r="AG303" s="139">
        <v>0</v>
      </c>
      <c r="AH303" s="139">
        <v>0</v>
      </c>
      <c r="AI303" s="139">
        <v>0</v>
      </c>
      <c r="AJ303" s="139">
        <v>0</v>
      </c>
      <c r="AK303" s="139">
        <v>0</v>
      </c>
      <c r="AL303" s="139">
        <v>0</v>
      </c>
      <c r="AM303" s="139">
        <v>0</v>
      </c>
      <c r="AN303" s="139">
        <v>10800</v>
      </c>
      <c r="AO303" s="139">
        <v>10800</v>
      </c>
      <c r="AP303" s="139">
        <v>10800</v>
      </c>
      <c r="AQ303" s="139">
        <v>10800</v>
      </c>
      <c r="AR303" s="139">
        <v>10800</v>
      </c>
      <c r="AS303" s="139">
        <v>10800</v>
      </c>
      <c r="AT303" s="139">
        <v>10800</v>
      </c>
      <c r="AU303" s="139">
        <v>10800</v>
      </c>
      <c r="AV303" s="140"/>
    </row>
    <row r="304" spans="2:48" ht="15.75" customHeight="1" x14ac:dyDescent="0.2">
      <c r="B304" s="136" t="s">
        <v>285</v>
      </c>
      <c r="C304" s="137">
        <v>0</v>
      </c>
      <c r="D304" s="138">
        <v>0</v>
      </c>
      <c r="E304" s="139">
        <v>0</v>
      </c>
      <c r="F304" s="139">
        <v>0</v>
      </c>
      <c r="G304" s="139">
        <v>0</v>
      </c>
      <c r="H304" s="139">
        <v>0</v>
      </c>
      <c r="I304" s="139">
        <v>0</v>
      </c>
      <c r="J304" s="139">
        <v>0</v>
      </c>
      <c r="K304" s="139">
        <v>0</v>
      </c>
      <c r="L304" s="139">
        <v>0</v>
      </c>
      <c r="M304" s="139">
        <v>0</v>
      </c>
      <c r="N304" s="139">
        <v>0</v>
      </c>
      <c r="O304" s="139">
        <v>0</v>
      </c>
      <c r="P304" s="139">
        <v>0</v>
      </c>
      <c r="Q304" s="139">
        <v>0</v>
      </c>
      <c r="R304" s="139">
        <v>0</v>
      </c>
      <c r="S304" s="139">
        <v>0</v>
      </c>
      <c r="T304" s="139">
        <v>0</v>
      </c>
      <c r="U304" s="139">
        <v>0</v>
      </c>
      <c r="V304" s="139">
        <v>0</v>
      </c>
      <c r="W304" s="139">
        <v>0</v>
      </c>
      <c r="X304" s="139">
        <v>0</v>
      </c>
      <c r="Y304" s="139">
        <v>0</v>
      </c>
      <c r="Z304" s="139">
        <v>0</v>
      </c>
      <c r="AA304" s="139">
        <v>0</v>
      </c>
      <c r="AB304" s="139">
        <v>0</v>
      </c>
      <c r="AC304" s="139">
        <v>0</v>
      </c>
      <c r="AD304" s="139">
        <v>0</v>
      </c>
      <c r="AE304" s="139">
        <v>0</v>
      </c>
      <c r="AF304" s="139">
        <v>0</v>
      </c>
      <c r="AG304" s="139">
        <v>0</v>
      </c>
      <c r="AH304" s="139">
        <v>0</v>
      </c>
      <c r="AI304" s="139">
        <v>0</v>
      </c>
      <c r="AJ304" s="139">
        <v>0</v>
      </c>
      <c r="AK304" s="139">
        <v>0</v>
      </c>
      <c r="AL304" s="139">
        <v>0</v>
      </c>
      <c r="AM304" s="139">
        <v>0</v>
      </c>
      <c r="AN304" s="139">
        <v>9600</v>
      </c>
      <c r="AO304" s="139">
        <v>9600</v>
      </c>
      <c r="AP304" s="139">
        <v>9600</v>
      </c>
      <c r="AQ304" s="139">
        <v>9600</v>
      </c>
      <c r="AR304" s="139">
        <v>9600</v>
      </c>
      <c r="AS304" s="139">
        <v>9600</v>
      </c>
      <c r="AT304" s="139">
        <v>9600</v>
      </c>
      <c r="AU304" s="139">
        <v>9600</v>
      </c>
      <c r="AV304" s="140"/>
    </row>
    <row r="305" spans="2:48" ht="15.75" customHeight="1" x14ac:dyDescent="0.2">
      <c r="B305" s="136" t="s">
        <v>286</v>
      </c>
      <c r="C305" s="137">
        <v>0</v>
      </c>
      <c r="D305" s="138">
        <v>0</v>
      </c>
      <c r="E305" s="139">
        <v>0</v>
      </c>
      <c r="F305" s="139">
        <v>0</v>
      </c>
      <c r="G305" s="139">
        <v>0</v>
      </c>
      <c r="H305" s="139">
        <v>0</v>
      </c>
      <c r="I305" s="139">
        <v>0</v>
      </c>
      <c r="J305" s="139">
        <v>0</v>
      </c>
      <c r="K305" s="139">
        <v>0</v>
      </c>
      <c r="L305" s="139">
        <v>0</v>
      </c>
      <c r="M305" s="139">
        <v>0</v>
      </c>
      <c r="N305" s="139">
        <v>0</v>
      </c>
      <c r="O305" s="139">
        <v>0</v>
      </c>
      <c r="P305" s="139">
        <v>0</v>
      </c>
      <c r="Q305" s="139">
        <v>0</v>
      </c>
      <c r="R305" s="139">
        <v>0</v>
      </c>
      <c r="S305" s="139">
        <v>0</v>
      </c>
      <c r="T305" s="139">
        <v>0</v>
      </c>
      <c r="U305" s="139">
        <v>0</v>
      </c>
      <c r="V305" s="139">
        <v>0</v>
      </c>
      <c r="W305" s="139">
        <v>0</v>
      </c>
      <c r="X305" s="139">
        <v>0</v>
      </c>
      <c r="Y305" s="139">
        <v>0</v>
      </c>
      <c r="Z305" s="139">
        <v>0</v>
      </c>
      <c r="AA305" s="139">
        <v>0</v>
      </c>
      <c r="AB305" s="139">
        <v>0</v>
      </c>
      <c r="AC305" s="139">
        <v>0</v>
      </c>
      <c r="AD305" s="139">
        <v>0</v>
      </c>
      <c r="AE305" s="139">
        <v>0</v>
      </c>
      <c r="AF305" s="139">
        <v>0</v>
      </c>
      <c r="AG305" s="139">
        <v>0</v>
      </c>
      <c r="AH305" s="139">
        <v>0</v>
      </c>
      <c r="AI305" s="139">
        <v>0</v>
      </c>
      <c r="AJ305" s="139">
        <v>0</v>
      </c>
      <c r="AK305" s="139">
        <v>0</v>
      </c>
      <c r="AL305" s="139">
        <v>0</v>
      </c>
      <c r="AM305" s="139">
        <v>0</v>
      </c>
      <c r="AN305" s="139">
        <v>9600</v>
      </c>
      <c r="AO305" s="139">
        <v>9600</v>
      </c>
      <c r="AP305" s="139">
        <v>9600</v>
      </c>
      <c r="AQ305" s="139">
        <v>9600</v>
      </c>
      <c r="AR305" s="139">
        <v>9600</v>
      </c>
      <c r="AS305" s="139">
        <v>9600</v>
      </c>
      <c r="AT305" s="139">
        <v>9600</v>
      </c>
      <c r="AU305" s="139">
        <v>9600</v>
      </c>
      <c r="AV305" s="140"/>
    </row>
    <row r="306" spans="2:48" ht="15.75" customHeight="1" x14ac:dyDescent="0.2">
      <c r="B306" s="136" t="s">
        <v>287</v>
      </c>
      <c r="C306" s="137">
        <v>0</v>
      </c>
      <c r="D306" s="138">
        <v>0</v>
      </c>
      <c r="E306" s="139">
        <v>0</v>
      </c>
      <c r="F306" s="139">
        <v>0</v>
      </c>
      <c r="G306" s="139">
        <v>0</v>
      </c>
      <c r="H306" s="139">
        <v>0</v>
      </c>
      <c r="I306" s="139">
        <v>0</v>
      </c>
      <c r="J306" s="139">
        <v>0</v>
      </c>
      <c r="K306" s="139">
        <v>0</v>
      </c>
      <c r="L306" s="139">
        <v>0</v>
      </c>
      <c r="M306" s="139">
        <v>0</v>
      </c>
      <c r="N306" s="139">
        <v>0</v>
      </c>
      <c r="O306" s="139">
        <v>0</v>
      </c>
      <c r="P306" s="139">
        <v>0</v>
      </c>
      <c r="Q306" s="139">
        <v>0</v>
      </c>
      <c r="R306" s="139">
        <v>0</v>
      </c>
      <c r="S306" s="139">
        <v>0</v>
      </c>
      <c r="T306" s="139">
        <v>0</v>
      </c>
      <c r="U306" s="139">
        <v>0</v>
      </c>
      <c r="V306" s="139">
        <v>0</v>
      </c>
      <c r="W306" s="139">
        <v>0</v>
      </c>
      <c r="X306" s="139">
        <v>0</v>
      </c>
      <c r="Y306" s="139">
        <v>0</v>
      </c>
      <c r="Z306" s="139">
        <v>0</v>
      </c>
      <c r="AA306" s="139">
        <v>0</v>
      </c>
      <c r="AB306" s="139">
        <v>0</v>
      </c>
      <c r="AC306" s="139">
        <v>0</v>
      </c>
      <c r="AD306" s="139">
        <v>0</v>
      </c>
      <c r="AE306" s="139">
        <v>0</v>
      </c>
      <c r="AF306" s="139">
        <v>0</v>
      </c>
      <c r="AG306" s="139">
        <v>0</v>
      </c>
      <c r="AH306" s="139">
        <v>0</v>
      </c>
      <c r="AI306" s="139">
        <v>0</v>
      </c>
      <c r="AJ306" s="139">
        <v>0</v>
      </c>
      <c r="AK306" s="139">
        <v>0</v>
      </c>
      <c r="AL306" s="139">
        <v>0</v>
      </c>
      <c r="AM306" s="139">
        <v>0</v>
      </c>
      <c r="AN306" s="139">
        <v>24000</v>
      </c>
      <c r="AO306" s="139">
        <v>24000</v>
      </c>
      <c r="AP306" s="139">
        <v>24000</v>
      </c>
      <c r="AQ306" s="139">
        <v>24000</v>
      </c>
      <c r="AR306" s="139">
        <v>24000</v>
      </c>
      <c r="AS306" s="139">
        <v>24000</v>
      </c>
      <c r="AT306" s="139">
        <v>24000</v>
      </c>
      <c r="AU306" s="139">
        <v>24000</v>
      </c>
      <c r="AV306" s="140"/>
    </row>
    <row r="307" spans="2:48" ht="15.75" customHeight="1" x14ac:dyDescent="0.2">
      <c r="B307" s="136" t="s">
        <v>288</v>
      </c>
      <c r="C307" s="137">
        <v>0</v>
      </c>
      <c r="D307" s="138">
        <v>0</v>
      </c>
      <c r="E307" s="139">
        <v>0</v>
      </c>
      <c r="F307" s="139">
        <v>0</v>
      </c>
      <c r="G307" s="139">
        <v>0</v>
      </c>
      <c r="H307" s="139">
        <v>0</v>
      </c>
      <c r="I307" s="139">
        <v>0</v>
      </c>
      <c r="J307" s="139">
        <v>0</v>
      </c>
      <c r="K307" s="139">
        <v>0</v>
      </c>
      <c r="L307" s="139">
        <v>0</v>
      </c>
      <c r="M307" s="139">
        <v>0</v>
      </c>
      <c r="N307" s="139">
        <v>0</v>
      </c>
      <c r="O307" s="139">
        <v>0</v>
      </c>
      <c r="P307" s="139">
        <v>0</v>
      </c>
      <c r="Q307" s="139">
        <v>0</v>
      </c>
      <c r="R307" s="139">
        <v>0</v>
      </c>
      <c r="S307" s="139">
        <v>0</v>
      </c>
      <c r="T307" s="139">
        <v>0</v>
      </c>
      <c r="U307" s="139">
        <v>0</v>
      </c>
      <c r="V307" s="139">
        <v>0</v>
      </c>
      <c r="W307" s="139">
        <v>0</v>
      </c>
      <c r="X307" s="139">
        <v>0</v>
      </c>
      <c r="Y307" s="139">
        <v>0</v>
      </c>
      <c r="Z307" s="139">
        <v>0</v>
      </c>
      <c r="AA307" s="139">
        <v>0</v>
      </c>
      <c r="AB307" s="139">
        <v>0</v>
      </c>
      <c r="AC307" s="139">
        <v>0</v>
      </c>
      <c r="AD307" s="139">
        <v>0</v>
      </c>
      <c r="AE307" s="139">
        <v>0</v>
      </c>
      <c r="AF307" s="139">
        <v>0</v>
      </c>
      <c r="AG307" s="139">
        <v>0</v>
      </c>
      <c r="AH307" s="139">
        <v>0</v>
      </c>
      <c r="AI307" s="139">
        <v>0</v>
      </c>
      <c r="AJ307" s="139">
        <v>0</v>
      </c>
      <c r="AK307" s="139">
        <v>0</v>
      </c>
      <c r="AL307" s="139">
        <v>0</v>
      </c>
      <c r="AM307" s="139">
        <v>0</v>
      </c>
      <c r="AN307" s="139">
        <v>12600</v>
      </c>
      <c r="AO307" s="139">
        <v>12600</v>
      </c>
      <c r="AP307" s="139">
        <v>12600</v>
      </c>
      <c r="AQ307" s="139">
        <v>12600</v>
      </c>
      <c r="AR307" s="139">
        <v>12600</v>
      </c>
      <c r="AS307" s="139">
        <v>12600</v>
      </c>
      <c r="AT307" s="139">
        <v>12600</v>
      </c>
      <c r="AU307" s="139">
        <v>12600</v>
      </c>
      <c r="AV307" s="140"/>
    </row>
    <row r="308" spans="2:48" ht="15.75" customHeight="1" x14ac:dyDescent="0.2">
      <c r="B308" s="136" t="s">
        <v>289</v>
      </c>
      <c r="C308" s="137">
        <v>0</v>
      </c>
      <c r="D308" s="138">
        <v>0</v>
      </c>
      <c r="E308" s="139">
        <v>0</v>
      </c>
      <c r="F308" s="139">
        <v>0</v>
      </c>
      <c r="G308" s="139">
        <v>0</v>
      </c>
      <c r="H308" s="139">
        <v>0</v>
      </c>
      <c r="I308" s="139">
        <v>0</v>
      </c>
      <c r="J308" s="139">
        <v>0</v>
      </c>
      <c r="K308" s="139">
        <v>0</v>
      </c>
      <c r="L308" s="139">
        <v>0</v>
      </c>
      <c r="M308" s="139">
        <v>0</v>
      </c>
      <c r="N308" s="139">
        <v>0</v>
      </c>
      <c r="O308" s="139">
        <v>0</v>
      </c>
      <c r="P308" s="139">
        <v>0</v>
      </c>
      <c r="Q308" s="139">
        <v>0</v>
      </c>
      <c r="R308" s="139">
        <v>0</v>
      </c>
      <c r="S308" s="139">
        <v>0</v>
      </c>
      <c r="T308" s="139">
        <v>0</v>
      </c>
      <c r="U308" s="139">
        <v>0</v>
      </c>
      <c r="V308" s="139">
        <v>0</v>
      </c>
      <c r="W308" s="139">
        <v>0</v>
      </c>
      <c r="X308" s="139">
        <v>0</v>
      </c>
      <c r="Y308" s="139">
        <v>0</v>
      </c>
      <c r="Z308" s="139">
        <v>0</v>
      </c>
      <c r="AA308" s="139">
        <v>0</v>
      </c>
      <c r="AB308" s="139">
        <v>0</v>
      </c>
      <c r="AC308" s="139">
        <v>0</v>
      </c>
      <c r="AD308" s="139">
        <v>0</v>
      </c>
      <c r="AE308" s="139">
        <v>0</v>
      </c>
      <c r="AF308" s="139">
        <v>0</v>
      </c>
      <c r="AG308" s="139">
        <v>0</v>
      </c>
      <c r="AH308" s="139">
        <v>0</v>
      </c>
      <c r="AI308" s="139">
        <v>0</v>
      </c>
      <c r="AJ308" s="139">
        <v>0</v>
      </c>
      <c r="AK308" s="139">
        <v>0</v>
      </c>
      <c r="AL308" s="139">
        <v>0</v>
      </c>
      <c r="AM308" s="139">
        <v>0</v>
      </c>
      <c r="AN308" s="139">
        <v>57000</v>
      </c>
      <c r="AO308" s="139">
        <v>57000</v>
      </c>
      <c r="AP308" s="139">
        <v>57000</v>
      </c>
      <c r="AQ308" s="139">
        <v>57000</v>
      </c>
      <c r="AR308" s="139">
        <v>57000</v>
      </c>
      <c r="AS308" s="139">
        <v>57000</v>
      </c>
      <c r="AT308" s="139">
        <v>57000</v>
      </c>
      <c r="AU308" s="139">
        <v>57000</v>
      </c>
      <c r="AV308" s="140"/>
    </row>
    <row r="309" spans="2:48" ht="15.75" customHeight="1" x14ac:dyDescent="0.2">
      <c r="B309" s="136" t="s">
        <v>290</v>
      </c>
      <c r="C309" s="137">
        <v>0</v>
      </c>
      <c r="D309" s="138">
        <v>0</v>
      </c>
      <c r="E309" s="139">
        <v>0</v>
      </c>
      <c r="F309" s="139">
        <v>0</v>
      </c>
      <c r="G309" s="139">
        <v>0</v>
      </c>
      <c r="H309" s="139">
        <v>0</v>
      </c>
      <c r="I309" s="139">
        <v>0</v>
      </c>
      <c r="J309" s="139">
        <v>0</v>
      </c>
      <c r="K309" s="139">
        <v>0</v>
      </c>
      <c r="L309" s="139">
        <v>0</v>
      </c>
      <c r="M309" s="139">
        <v>0</v>
      </c>
      <c r="N309" s="139">
        <v>0</v>
      </c>
      <c r="O309" s="139">
        <v>0</v>
      </c>
      <c r="P309" s="139">
        <v>0</v>
      </c>
      <c r="Q309" s="139">
        <v>0</v>
      </c>
      <c r="R309" s="139">
        <v>0</v>
      </c>
      <c r="S309" s="139">
        <v>0</v>
      </c>
      <c r="T309" s="139">
        <v>0</v>
      </c>
      <c r="U309" s="139">
        <v>0</v>
      </c>
      <c r="V309" s="139">
        <v>0</v>
      </c>
      <c r="W309" s="139">
        <v>0</v>
      </c>
      <c r="X309" s="139">
        <v>0</v>
      </c>
      <c r="Y309" s="139">
        <v>0</v>
      </c>
      <c r="Z309" s="139">
        <v>0</v>
      </c>
      <c r="AA309" s="139">
        <v>0</v>
      </c>
      <c r="AB309" s="139">
        <v>0</v>
      </c>
      <c r="AC309" s="139">
        <v>0</v>
      </c>
      <c r="AD309" s="139">
        <v>0</v>
      </c>
      <c r="AE309" s="139">
        <v>0</v>
      </c>
      <c r="AF309" s="139">
        <v>0</v>
      </c>
      <c r="AG309" s="139">
        <v>0</v>
      </c>
      <c r="AH309" s="139">
        <v>0</v>
      </c>
      <c r="AI309" s="139">
        <v>0</v>
      </c>
      <c r="AJ309" s="139">
        <v>0</v>
      </c>
      <c r="AK309" s="139">
        <v>0</v>
      </c>
      <c r="AL309" s="139">
        <v>0</v>
      </c>
      <c r="AM309" s="139">
        <v>0</v>
      </c>
      <c r="AN309" s="139">
        <v>21420</v>
      </c>
      <c r="AO309" s="139">
        <v>21420</v>
      </c>
      <c r="AP309" s="139">
        <v>21420</v>
      </c>
      <c r="AQ309" s="139">
        <v>21420</v>
      </c>
      <c r="AR309" s="139">
        <v>21420</v>
      </c>
      <c r="AS309" s="139">
        <v>21420</v>
      </c>
      <c r="AT309" s="139">
        <v>21420</v>
      </c>
      <c r="AU309" s="139">
        <v>21420</v>
      </c>
      <c r="AV309" s="140"/>
    </row>
    <row r="310" spans="2:48" ht="15.75" customHeight="1" x14ac:dyDescent="0.2">
      <c r="B310" s="136" t="s">
        <v>291</v>
      </c>
      <c r="C310" s="137">
        <v>0</v>
      </c>
      <c r="D310" s="138">
        <v>0</v>
      </c>
      <c r="E310" s="139">
        <v>0</v>
      </c>
      <c r="F310" s="139">
        <v>0</v>
      </c>
      <c r="G310" s="139">
        <v>0</v>
      </c>
      <c r="H310" s="139">
        <v>0</v>
      </c>
      <c r="I310" s="139">
        <v>0</v>
      </c>
      <c r="J310" s="139">
        <v>0</v>
      </c>
      <c r="K310" s="139">
        <v>0</v>
      </c>
      <c r="L310" s="139">
        <v>0</v>
      </c>
      <c r="M310" s="139">
        <v>0</v>
      </c>
      <c r="N310" s="139">
        <v>0</v>
      </c>
      <c r="O310" s="139">
        <v>0</v>
      </c>
      <c r="P310" s="139">
        <v>0</v>
      </c>
      <c r="Q310" s="139">
        <v>0</v>
      </c>
      <c r="R310" s="139">
        <v>0</v>
      </c>
      <c r="S310" s="139">
        <v>0</v>
      </c>
      <c r="T310" s="139">
        <v>0</v>
      </c>
      <c r="U310" s="139">
        <v>0</v>
      </c>
      <c r="V310" s="139">
        <v>0</v>
      </c>
      <c r="W310" s="139">
        <v>0</v>
      </c>
      <c r="X310" s="139">
        <v>0</v>
      </c>
      <c r="Y310" s="139">
        <v>0</v>
      </c>
      <c r="Z310" s="139">
        <v>0</v>
      </c>
      <c r="AA310" s="139">
        <v>0</v>
      </c>
      <c r="AB310" s="139">
        <v>0</v>
      </c>
      <c r="AC310" s="139">
        <v>0</v>
      </c>
      <c r="AD310" s="139">
        <v>0</v>
      </c>
      <c r="AE310" s="139">
        <v>0</v>
      </c>
      <c r="AF310" s="139">
        <v>0</v>
      </c>
      <c r="AG310" s="139">
        <v>0</v>
      </c>
      <c r="AH310" s="139">
        <v>0</v>
      </c>
      <c r="AI310" s="139">
        <v>0</v>
      </c>
      <c r="AJ310" s="139">
        <v>0</v>
      </c>
      <c r="AK310" s="139">
        <v>0</v>
      </c>
      <c r="AL310" s="139">
        <v>0</v>
      </c>
      <c r="AM310" s="139">
        <v>0</v>
      </c>
      <c r="AN310" s="139">
        <v>12480</v>
      </c>
      <c r="AO310" s="139">
        <v>12480</v>
      </c>
      <c r="AP310" s="139">
        <v>12480</v>
      </c>
      <c r="AQ310" s="139">
        <v>12480</v>
      </c>
      <c r="AR310" s="139">
        <v>12480</v>
      </c>
      <c r="AS310" s="139">
        <v>12480</v>
      </c>
      <c r="AT310" s="139">
        <v>12480</v>
      </c>
      <c r="AU310" s="139">
        <v>12480</v>
      </c>
      <c r="AV310" s="140"/>
    </row>
    <row r="311" spans="2:48" ht="15.75" customHeight="1" x14ac:dyDescent="0.2">
      <c r="B311" s="136" t="s">
        <v>292</v>
      </c>
      <c r="C311" s="137">
        <v>0</v>
      </c>
      <c r="D311" s="138">
        <v>0</v>
      </c>
      <c r="E311" s="139">
        <v>0</v>
      </c>
      <c r="F311" s="139">
        <v>0</v>
      </c>
      <c r="G311" s="139">
        <v>0</v>
      </c>
      <c r="H311" s="139">
        <v>0</v>
      </c>
      <c r="I311" s="139">
        <v>0</v>
      </c>
      <c r="J311" s="139">
        <v>0</v>
      </c>
      <c r="K311" s="139">
        <v>0</v>
      </c>
      <c r="L311" s="139">
        <v>0</v>
      </c>
      <c r="M311" s="139">
        <v>0</v>
      </c>
      <c r="N311" s="139">
        <v>0</v>
      </c>
      <c r="O311" s="139">
        <v>0</v>
      </c>
      <c r="P311" s="139">
        <v>0</v>
      </c>
      <c r="Q311" s="139">
        <v>0</v>
      </c>
      <c r="R311" s="139">
        <v>0</v>
      </c>
      <c r="S311" s="139">
        <v>0</v>
      </c>
      <c r="T311" s="139">
        <v>0</v>
      </c>
      <c r="U311" s="139">
        <v>0</v>
      </c>
      <c r="V311" s="139">
        <v>0</v>
      </c>
      <c r="W311" s="139">
        <v>0</v>
      </c>
      <c r="X311" s="139">
        <v>0</v>
      </c>
      <c r="Y311" s="139">
        <v>0</v>
      </c>
      <c r="Z311" s="139">
        <v>0</v>
      </c>
      <c r="AA311" s="139">
        <v>0</v>
      </c>
      <c r="AB311" s="139">
        <v>0</v>
      </c>
      <c r="AC311" s="139">
        <v>0</v>
      </c>
      <c r="AD311" s="139">
        <v>0</v>
      </c>
      <c r="AE311" s="139">
        <v>0</v>
      </c>
      <c r="AF311" s="139">
        <v>0</v>
      </c>
      <c r="AG311" s="139">
        <v>0</v>
      </c>
      <c r="AH311" s="139">
        <v>0</v>
      </c>
      <c r="AI311" s="139">
        <v>0</v>
      </c>
      <c r="AJ311" s="139">
        <v>0</v>
      </c>
      <c r="AK311" s="139">
        <v>0</v>
      </c>
      <c r="AL311" s="139">
        <v>0</v>
      </c>
      <c r="AM311" s="139">
        <v>0</v>
      </c>
      <c r="AN311" s="139">
        <v>11249</v>
      </c>
      <c r="AO311" s="139">
        <v>11249</v>
      </c>
      <c r="AP311" s="139">
        <v>11249</v>
      </c>
      <c r="AQ311" s="139">
        <v>11249</v>
      </c>
      <c r="AR311" s="139">
        <v>11249</v>
      </c>
      <c r="AS311" s="139">
        <v>11249</v>
      </c>
      <c r="AT311" s="139">
        <v>11249</v>
      </c>
      <c r="AU311" s="139">
        <v>11249</v>
      </c>
      <c r="AV311" s="140"/>
    </row>
    <row r="312" spans="2:48" ht="15.75" customHeight="1" x14ac:dyDescent="0.2">
      <c r="B312" s="136" t="s">
        <v>293</v>
      </c>
      <c r="C312" s="137">
        <v>0</v>
      </c>
      <c r="D312" s="138">
        <v>0</v>
      </c>
      <c r="E312" s="139">
        <v>0</v>
      </c>
      <c r="F312" s="139">
        <v>0</v>
      </c>
      <c r="G312" s="139">
        <v>0</v>
      </c>
      <c r="H312" s="139">
        <v>0</v>
      </c>
      <c r="I312" s="139">
        <v>0</v>
      </c>
      <c r="J312" s="139">
        <v>0</v>
      </c>
      <c r="K312" s="139">
        <v>0</v>
      </c>
      <c r="L312" s="139">
        <v>0</v>
      </c>
      <c r="M312" s="139">
        <v>0</v>
      </c>
      <c r="N312" s="139">
        <v>0</v>
      </c>
      <c r="O312" s="139">
        <v>0</v>
      </c>
      <c r="P312" s="139">
        <v>0</v>
      </c>
      <c r="Q312" s="139">
        <v>0</v>
      </c>
      <c r="R312" s="139">
        <v>0</v>
      </c>
      <c r="S312" s="139">
        <v>0</v>
      </c>
      <c r="T312" s="139">
        <v>0</v>
      </c>
      <c r="U312" s="139">
        <v>0</v>
      </c>
      <c r="V312" s="139">
        <v>0</v>
      </c>
      <c r="W312" s="139">
        <v>0</v>
      </c>
      <c r="X312" s="139">
        <v>0</v>
      </c>
      <c r="Y312" s="139">
        <v>0</v>
      </c>
      <c r="Z312" s="139">
        <v>0</v>
      </c>
      <c r="AA312" s="139">
        <v>0</v>
      </c>
      <c r="AB312" s="139">
        <v>0</v>
      </c>
      <c r="AC312" s="139">
        <v>0</v>
      </c>
      <c r="AD312" s="139">
        <v>0</v>
      </c>
      <c r="AE312" s="139">
        <v>0</v>
      </c>
      <c r="AF312" s="139">
        <v>0</v>
      </c>
      <c r="AG312" s="139">
        <v>0</v>
      </c>
      <c r="AH312" s="139">
        <v>0</v>
      </c>
      <c r="AI312" s="139">
        <v>0</v>
      </c>
      <c r="AJ312" s="139">
        <v>0</v>
      </c>
      <c r="AK312" s="139">
        <v>0</v>
      </c>
      <c r="AL312" s="139">
        <v>0</v>
      </c>
      <c r="AM312" s="139">
        <v>0</v>
      </c>
      <c r="AN312" s="139">
        <v>9600</v>
      </c>
      <c r="AO312" s="139">
        <v>9600</v>
      </c>
      <c r="AP312" s="139">
        <v>9600</v>
      </c>
      <c r="AQ312" s="139">
        <v>9600</v>
      </c>
      <c r="AR312" s="139">
        <v>9600</v>
      </c>
      <c r="AS312" s="139">
        <v>9600</v>
      </c>
      <c r="AT312" s="139">
        <v>9600</v>
      </c>
      <c r="AU312" s="139">
        <v>9600</v>
      </c>
      <c r="AV312" s="140"/>
    </row>
    <row r="313" spans="2:48" ht="15.75" customHeight="1" x14ac:dyDescent="0.2">
      <c r="B313" s="136" t="s">
        <v>294</v>
      </c>
      <c r="C313" s="137">
        <v>0</v>
      </c>
      <c r="D313" s="138">
        <v>0</v>
      </c>
      <c r="E313" s="139">
        <v>0</v>
      </c>
      <c r="F313" s="139">
        <v>0</v>
      </c>
      <c r="G313" s="139">
        <v>0</v>
      </c>
      <c r="H313" s="139">
        <v>0</v>
      </c>
      <c r="I313" s="139">
        <v>0</v>
      </c>
      <c r="J313" s="139">
        <v>0</v>
      </c>
      <c r="K313" s="139">
        <v>0</v>
      </c>
      <c r="L313" s="139">
        <v>0</v>
      </c>
      <c r="M313" s="139">
        <v>0</v>
      </c>
      <c r="N313" s="139">
        <v>0</v>
      </c>
      <c r="O313" s="139">
        <v>0</v>
      </c>
      <c r="P313" s="139">
        <v>0</v>
      </c>
      <c r="Q313" s="139">
        <v>0</v>
      </c>
      <c r="R313" s="139">
        <v>0</v>
      </c>
      <c r="S313" s="139">
        <v>0</v>
      </c>
      <c r="T313" s="139">
        <v>0</v>
      </c>
      <c r="U313" s="139">
        <v>0</v>
      </c>
      <c r="V313" s="139">
        <v>0</v>
      </c>
      <c r="W313" s="139">
        <v>0</v>
      </c>
      <c r="X313" s="139">
        <v>0</v>
      </c>
      <c r="Y313" s="139">
        <v>0</v>
      </c>
      <c r="Z313" s="139">
        <v>0</v>
      </c>
      <c r="AA313" s="139">
        <v>0</v>
      </c>
      <c r="AB313" s="139">
        <v>0</v>
      </c>
      <c r="AC313" s="139">
        <v>0</v>
      </c>
      <c r="AD313" s="139">
        <v>0</v>
      </c>
      <c r="AE313" s="139">
        <v>0</v>
      </c>
      <c r="AF313" s="139">
        <v>0</v>
      </c>
      <c r="AG313" s="139">
        <v>0</v>
      </c>
      <c r="AH313" s="139">
        <v>0</v>
      </c>
      <c r="AI313" s="139">
        <v>0</v>
      </c>
      <c r="AJ313" s="139">
        <v>0</v>
      </c>
      <c r="AK313" s="139">
        <v>0</v>
      </c>
      <c r="AL313" s="139">
        <v>0</v>
      </c>
      <c r="AM313" s="139">
        <v>0</v>
      </c>
      <c r="AN313" s="139">
        <v>40800</v>
      </c>
      <c r="AO313" s="139">
        <v>40800</v>
      </c>
      <c r="AP313" s="139">
        <v>40800</v>
      </c>
      <c r="AQ313" s="139">
        <v>40800</v>
      </c>
      <c r="AR313" s="139">
        <v>40800</v>
      </c>
      <c r="AS313" s="139">
        <v>40800</v>
      </c>
      <c r="AT313" s="139">
        <v>40800</v>
      </c>
      <c r="AU313" s="139">
        <v>40800</v>
      </c>
      <c r="AV313" s="140"/>
    </row>
    <row r="314" spans="2:48" ht="15.75" customHeight="1" x14ac:dyDescent="0.2">
      <c r="B314" s="136" t="s">
        <v>295</v>
      </c>
      <c r="C314" s="137">
        <v>0</v>
      </c>
      <c r="D314" s="138">
        <v>0</v>
      </c>
      <c r="E314" s="139">
        <v>0</v>
      </c>
      <c r="F314" s="139">
        <v>0</v>
      </c>
      <c r="G314" s="139">
        <v>0</v>
      </c>
      <c r="H314" s="139">
        <v>0</v>
      </c>
      <c r="I314" s="139">
        <v>0</v>
      </c>
      <c r="J314" s="139">
        <v>0</v>
      </c>
      <c r="K314" s="139">
        <v>0</v>
      </c>
      <c r="L314" s="139">
        <v>0</v>
      </c>
      <c r="M314" s="139">
        <v>0</v>
      </c>
      <c r="N314" s="139">
        <v>0</v>
      </c>
      <c r="O314" s="139">
        <v>0</v>
      </c>
      <c r="P314" s="139">
        <v>0</v>
      </c>
      <c r="Q314" s="139">
        <v>0</v>
      </c>
      <c r="R314" s="139">
        <v>0</v>
      </c>
      <c r="S314" s="139">
        <v>0</v>
      </c>
      <c r="T314" s="139">
        <v>0</v>
      </c>
      <c r="U314" s="139">
        <v>0</v>
      </c>
      <c r="V314" s="139">
        <v>0</v>
      </c>
      <c r="W314" s="139">
        <v>0</v>
      </c>
      <c r="X314" s="139">
        <v>0</v>
      </c>
      <c r="Y314" s="139">
        <v>0</v>
      </c>
      <c r="Z314" s="139">
        <v>0</v>
      </c>
      <c r="AA314" s="139">
        <v>0</v>
      </c>
      <c r="AB314" s="139">
        <v>0</v>
      </c>
      <c r="AC314" s="139">
        <v>0</v>
      </c>
      <c r="AD314" s="139">
        <v>0</v>
      </c>
      <c r="AE314" s="139">
        <v>0</v>
      </c>
      <c r="AF314" s="139">
        <v>0</v>
      </c>
      <c r="AG314" s="139">
        <v>0</v>
      </c>
      <c r="AH314" s="139">
        <v>0</v>
      </c>
      <c r="AI314" s="139">
        <v>0</v>
      </c>
      <c r="AJ314" s="139">
        <v>0</v>
      </c>
      <c r="AK314" s="139">
        <v>0</v>
      </c>
      <c r="AL314" s="139">
        <v>0</v>
      </c>
      <c r="AM314" s="139">
        <v>0</v>
      </c>
      <c r="AN314" s="139">
        <v>9600</v>
      </c>
      <c r="AO314" s="139">
        <v>9600</v>
      </c>
      <c r="AP314" s="139">
        <v>9600</v>
      </c>
      <c r="AQ314" s="139">
        <v>9600</v>
      </c>
      <c r="AR314" s="139">
        <v>9600</v>
      </c>
      <c r="AS314" s="139">
        <v>9600</v>
      </c>
      <c r="AT314" s="139">
        <v>9600</v>
      </c>
      <c r="AU314" s="139">
        <v>9600</v>
      </c>
      <c r="AV314" s="140"/>
    </row>
    <row r="315" spans="2:48" ht="15.75" customHeight="1" x14ac:dyDescent="0.2">
      <c r="B315" s="136" t="s">
        <v>296</v>
      </c>
      <c r="C315" s="137">
        <v>0</v>
      </c>
      <c r="D315" s="138">
        <v>0</v>
      </c>
      <c r="E315" s="139">
        <v>0</v>
      </c>
      <c r="F315" s="139">
        <v>0</v>
      </c>
      <c r="G315" s="139">
        <v>0</v>
      </c>
      <c r="H315" s="139">
        <v>0</v>
      </c>
      <c r="I315" s="139">
        <v>0</v>
      </c>
      <c r="J315" s="139">
        <v>0</v>
      </c>
      <c r="K315" s="139">
        <v>0</v>
      </c>
      <c r="L315" s="139">
        <v>0</v>
      </c>
      <c r="M315" s="139">
        <v>0</v>
      </c>
      <c r="N315" s="139">
        <v>0</v>
      </c>
      <c r="O315" s="139">
        <v>0</v>
      </c>
      <c r="P315" s="139">
        <v>0</v>
      </c>
      <c r="Q315" s="139">
        <v>0</v>
      </c>
      <c r="R315" s="139">
        <v>0</v>
      </c>
      <c r="S315" s="139">
        <v>0</v>
      </c>
      <c r="T315" s="139">
        <v>0</v>
      </c>
      <c r="U315" s="139">
        <v>0</v>
      </c>
      <c r="V315" s="139">
        <v>0</v>
      </c>
      <c r="W315" s="139">
        <v>0</v>
      </c>
      <c r="X315" s="139">
        <v>0</v>
      </c>
      <c r="Y315" s="139">
        <v>0</v>
      </c>
      <c r="Z315" s="139">
        <v>0</v>
      </c>
      <c r="AA315" s="139">
        <v>0</v>
      </c>
      <c r="AB315" s="139">
        <v>0</v>
      </c>
      <c r="AC315" s="139">
        <v>0</v>
      </c>
      <c r="AD315" s="139">
        <v>0</v>
      </c>
      <c r="AE315" s="139">
        <v>0</v>
      </c>
      <c r="AF315" s="139">
        <v>0</v>
      </c>
      <c r="AG315" s="139">
        <v>0</v>
      </c>
      <c r="AH315" s="139">
        <v>0</v>
      </c>
      <c r="AI315" s="139">
        <v>0</v>
      </c>
      <c r="AJ315" s="139">
        <v>0</v>
      </c>
      <c r="AK315" s="139">
        <v>0</v>
      </c>
      <c r="AL315" s="139">
        <v>0</v>
      </c>
      <c r="AM315" s="139">
        <v>0</v>
      </c>
      <c r="AN315" s="139">
        <v>31920</v>
      </c>
      <c r="AO315" s="139">
        <v>31920</v>
      </c>
      <c r="AP315" s="139">
        <v>31920</v>
      </c>
      <c r="AQ315" s="139">
        <v>31920</v>
      </c>
      <c r="AR315" s="139">
        <v>31920</v>
      </c>
      <c r="AS315" s="139">
        <v>31920</v>
      </c>
      <c r="AT315" s="139">
        <v>31920</v>
      </c>
      <c r="AU315" s="139">
        <v>31920</v>
      </c>
      <c r="AV315" s="140"/>
    </row>
    <row r="316" spans="2:48" ht="15.75" customHeight="1" x14ac:dyDescent="0.2">
      <c r="B316" s="136" t="s">
        <v>297</v>
      </c>
      <c r="C316" s="137">
        <v>0</v>
      </c>
      <c r="D316" s="138">
        <v>0</v>
      </c>
      <c r="E316" s="139">
        <v>0</v>
      </c>
      <c r="F316" s="139">
        <v>0</v>
      </c>
      <c r="G316" s="139">
        <v>0</v>
      </c>
      <c r="H316" s="139">
        <v>0</v>
      </c>
      <c r="I316" s="139">
        <v>0</v>
      </c>
      <c r="J316" s="139">
        <v>0</v>
      </c>
      <c r="K316" s="139">
        <v>0</v>
      </c>
      <c r="L316" s="139">
        <v>0</v>
      </c>
      <c r="M316" s="139">
        <v>0</v>
      </c>
      <c r="N316" s="139">
        <v>0</v>
      </c>
      <c r="O316" s="139">
        <v>0</v>
      </c>
      <c r="P316" s="139">
        <v>0</v>
      </c>
      <c r="Q316" s="139">
        <v>0</v>
      </c>
      <c r="R316" s="139">
        <v>0</v>
      </c>
      <c r="S316" s="139">
        <v>0</v>
      </c>
      <c r="T316" s="139">
        <v>0</v>
      </c>
      <c r="U316" s="139">
        <v>0</v>
      </c>
      <c r="V316" s="139">
        <v>0</v>
      </c>
      <c r="W316" s="139">
        <v>0</v>
      </c>
      <c r="X316" s="139">
        <v>0</v>
      </c>
      <c r="Y316" s="139">
        <v>0</v>
      </c>
      <c r="Z316" s="139">
        <v>0</v>
      </c>
      <c r="AA316" s="139">
        <v>0</v>
      </c>
      <c r="AB316" s="139">
        <v>0</v>
      </c>
      <c r="AC316" s="139">
        <v>0</v>
      </c>
      <c r="AD316" s="139">
        <v>0</v>
      </c>
      <c r="AE316" s="139">
        <v>0</v>
      </c>
      <c r="AF316" s="139">
        <v>0</v>
      </c>
      <c r="AG316" s="139">
        <v>0</v>
      </c>
      <c r="AH316" s="139">
        <v>0</v>
      </c>
      <c r="AI316" s="139">
        <v>0</v>
      </c>
      <c r="AJ316" s="139">
        <v>0</v>
      </c>
      <c r="AK316" s="139">
        <v>0</v>
      </c>
      <c r="AL316" s="139">
        <v>0</v>
      </c>
      <c r="AM316" s="139">
        <v>0</v>
      </c>
      <c r="AN316" s="139">
        <v>8000</v>
      </c>
      <c r="AO316" s="139">
        <v>8000</v>
      </c>
      <c r="AP316" s="139">
        <v>8000</v>
      </c>
      <c r="AQ316" s="139">
        <v>8000</v>
      </c>
      <c r="AR316" s="139">
        <v>8000</v>
      </c>
      <c r="AS316" s="139">
        <v>8000</v>
      </c>
      <c r="AT316" s="139">
        <v>8000</v>
      </c>
      <c r="AU316" s="139">
        <v>8000</v>
      </c>
      <c r="AV316" s="140"/>
    </row>
    <row r="317" spans="2:48" ht="15.75" customHeight="1" x14ac:dyDescent="0.2">
      <c r="B317" s="136" t="s">
        <v>298</v>
      </c>
      <c r="C317" s="137">
        <v>0</v>
      </c>
      <c r="D317" s="138">
        <v>0</v>
      </c>
      <c r="E317" s="139">
        <v>0</v>
      </c>
      <c r="F317" s="139">
        <v>0</v>
      </c>
      <c r="G317" s="139">
        <v>0</v>
      </c>
      <c r="H317" s="139">
        <v>0</v>
      </c>
      <c r="I317" s="139">
        <v>0</v>
      </c>
      <c r="J317" s="139">
        <v>0</v>
      </c>
      <c r="K317" s="139">
        <v>0</v>
      </c>
      <c r="L317" s="139">
        <v>0</v>
      </c>
      <c r="M317" s="139">
        <v>0</v>
      </c>
      <c r="N317" s="139">
        <v>0</v>
      </c>
      <c r="O317" s="139">
        <v>0</v>
      </c>
      <c r="P317" s="139">
        <v>0</v>
      </c>
      <c r="Q317" s="139">
        <v>0</v>
      </c>
      <c r="R317" s="139">
        <v>0</v>
      </c>
      <c r="S317" s="139">
        <v>0</v>
      </c>
      <c r="T317" s="139">
        <v>0</v>
      </c>
      <c r="U317" s="139">
        <v>0</v>
      </c>
      <c r="V317" s="139">
        <v>0</v>
      </c>
      <c r="W317" s="139">
        <v>0</v>
      </c>
      <c r="X317" s="139">
        <v>0</v>
      </c>
      <c r="Y317" s="139">
        <v>0</v>
      </c>
      <c r="Z317" s="139">
        <v>0</v>
      </c>
      <c r="AA317" s="139">
        <v>0</v>
      </c>
      <c r="AB317" s="139">
        <v>0</v>
      </c>
      <c r="AC317" s="139">
        <v>0</v>
      </c>
      <c r="AD317" s="139">
        <v>0</v>
      </c>
      <c r="AE317" s="139">
        <v>0</v>
      </c>
      <c r="AF317" s="139">
        <v>0</v>
      </c>
      <c r="AG317" s="139">
        <v>0</v>
      </c>
      <c r="AH317" s="139">
        <v>0</v>
      </c>
      <c r="AI317" s="139">
        <v>0</v>
      </c>
      <c r="AJ317" s="139">
        <v>0</v>
      </c>
      <c r="AK317" s="139">
        <v>0</v>
      </c>
      <c r="AL317" s="139">
        <v>0</v>
      </c>
      <c r="AM317" s="139">
        <v>0</v>
      </c>
      <c r="AN317" s="139">
        <v>43680</v>
      </c>
      <c r="AO317" s="139">
        <v>43680</v>
      </c>
      <c r="AP317" s="139">
        <v>43680</v>
      </c>
      <c r="AQ317" s="139">
        <v>43680</v>
      </c>
      <c r="AR317" s="139">
        <v>43680</v>
      </c>
      <c r="AS317" s="139">
        <v>43680</v>
      </c>
      <c r="AT317" s="139">
        <v>43680</v>
      </c>
      <c r="AU317" s="139">
        <v>43680</v>
      </c>
      <c r="AV317" s="140"/>
    </row>
    <row r="318" spans="2:48" ht="15.75" customHeight="1" x14ac:dyDescent="0.2">
      <c r="B318" s="136" t="s">
        <v>299</v>
      </c>
      <c r="C318" s="137">
        <v>0</v>
      </c>
      <c r="D318" s="138">
        <v>0</v>
      </c>
      <c r="E318" s="139">
        <v>0</v>
      </c>
      <c r="F318" s="139">
        <v>0</v>
      </c>
      <c r="G318" s="139">
        <v>0</v>
      </c>
      <c r="H318" s="139">
        <v>0</v>
      </c>
      <c r="I318" s="139">
        <v>0</v>
      </c>
      <c r="J318" s="139">
        <v>0</v>
      </c>
      <c r="K318" s="139">
        <v>0</v>
      </c>
      <c r="L318" s="139">
        <v>0</v>
      </c>
      <c r="M318" s="139">
        <v>0</v>
      </c>
      <c r="N318" s="139">
        <v>0</v>
      </c>
      <c r="O318" s="139">
        <v>0</v>
      </c>
      <c r="P318" s="139">
        <v>0</v>
      </c>
      <c r="Q318" s="139">
        <v>0</v>
      </c>
      <c r="R318" s="139">
        <v>0</v>
      </c>
      <c r="S318" s="139">
        <v>0</v>
      </c>
      <c r="T318" s="139">
        <v>0</v>
      </c>
      <c r="U318" s="139">
        <v>0</v>
      </c>
      <c r="V318" s="139">
        <v>0</v>
      </c>
      <c r="W318" s="139">
        <v>0</v>
      </c>
      <c r="X318" s="139">
        <v>0</v>
      </c>
      <c r="Y318" s="139">
        <v>0</v>
      </c>
      <c r="Z318" s="139">
        <v>0</v>
      </c>
      <c r="AA318" s="139">
        <v>0</v>
      </c>
      <c r="AB318" s="139">
        <v>0</v>
      </c>
      <c r="AC318" s="139">
        <v>0</v>
      </c>
      <c r="AD318" s="139">
        <v>0</v>
      </c>
      <c r="AE318" s="139">
        <v>0</v>
      </c>
      <c r="AF318" s="139">
        <v>0</v>
      </c>
      <c r="AG318" s="139">
        <v>0</v>
      </c>
      <c r="AH318" s="139">
        <v>0</v>
      </c>
      <c r="AI318" s="139">
        <v>0</v>
      </c>
      <c r="AJ318" s="139">
        <v>0</v>
      </c>
      <c r="AK318" s="139">
        <v>0</v>
      </c>
      <c r="AL318" s="139">
        <v>0</v>
      </c>
      <c r="AM318" s="139">
        <v>0</v>
      </c>
      <c r="AN318" s="139">
        <v>9600</v>
      </c>
      <c r="AO318" s="139">
        <v>9600</v>
      </c>
      <c r="AP318" s="139">
        <v>9600</v>
      </c>
      <c r="AQ318" s="139">
        <v>9600</v>
      </c>
      <c r="AR318" s="139">
        <v>9600</v>
      </c>
      <c r="AS318" s="139">
        <v>9600</v>
      </c>
      <c r="AT318" s="139">
        <v>9600</v>
      </c>
      <c r="AU318" s="139">
        <v>9600</v>
      </c>
      <c r="AV318" s="140"/>
    </row>
    <row r="319" spans="2:48" ht="15.75" customHeight="1" x14ac:dyDescent="0.2">
      <c r="B319" s="136" t="s">
        <v>300</v>
      </c>
      <c r="C319" s="137">
        <v>0</v>
      </c>
      <c r="D319" s="138">
        <v>0</v>
      </c>
      <c r="E319" s="139">
        <v>0</v>
      </c>
      <c r="F319" s="139">
        <v>0</v>
      </c>
      <c r="G319" s="139">
        <v>0</v>
      </c>
      <c r="H319" s="139">
        <v>0</v>
      </c>
      <c r="I319" s="139">
        <v>0</v>
      </c>
      <c r="J319" s="139">
        <v>0</v>
      </c>
      <c r="K319" s="139">
        <v>0</v>
      </c>
      <c r="L319" s="139">
        <v>0</v>
      </c>
      <c r="M319" s="139">
        <v>0</v>
      </c>
      <c r="N319" s="139">
        <v>0</v>
      </c>
      <c r="O319" s="139">
        <v>0</v>
      </c>
      <c r="P319" s="139">
        <v>0</v>
      </c>
      <c r="Q319" s="139">
        <v>0</v>
      </c>
      <c r="R319" s="139">
        <v>0</v>
      </c>
      <c r="S319" s="139">
        <v>0</v>
      </c>
      <c r="T319" s="139">
        <v>0</v>
      </c>
      <c r="U319" s="139">
        <v>0</v>
      </c>
      <c r="V319" s="139">
        <v>0</v>
      </c>
      <c r="W319" s="139">
        <v>0</v>
      </c>
      <c r="X319" s="139">
        <v>0</v>
      </c>
      <c r="Y319" s="139">
        <v>0</v>
      </c>
      <c r="Z319" s="139">
        <v>0</v>
      </c>
      <c r="AA319" s="139">
        <v>0</v>
      </c>
      <c r="AB319" s="139">
        <v>0</v>
      </c>
      <c r="AC319" s="139">
        <v>0</v>
      </c>
      <c r="AD319" s="139">
        <v>0</v>
      </c>
      <c r="AE319" s="139">
        <v>0</v>
      </c>
      <c r="AF319" s="139">
        <v>0</v>
      </c>
      <c r="AG319" s="139">
        <v>0</v>
      </c>
      <c r="AH319" s="139">
        <v>0</v>
      </c>
      <c r="AI319" s="139">
        <v>0</v>
      </c>
      <c r="AJ319" s="139">
        <v>0</v>
      </c>
      <c r="AK319" s="139">
        <v>0</v>
      </c>
      <c r="AL319" s="139">
        <v>0</v>
      </c>
      <c r="AM319" s="139">
        <v>0</v>
      </c>
      <c r="AN319" s="139">
        <v>8000</v>
      </c>
      <c r="AO319" s="139">
        <v>8000</v>
      </c>
      <c r="AP319" s="139">
        <v>8000</v>
      </c>
      <c r="AQ319" s="139">
        <v>8000</v>
      </c>
      <c r="AR319" s="139">
        <v>8000</v>
      </c>
      <c r="AS319" s="139">
        <v>8000</v>
      </c>
      <c r="AT319" s="139">
        <v>8000</v>
      </c>
      <c r="AU319" s="139">
        <v>8000</v>
      </c>
      <c r="AV319" s="140"/>
    </row>
    <row r="320" spans="2:48" ht="15.75" customHeight="1" x14ac:dyDescent="0.2">
      <c r="B320" s="136" t="s">
        <v>301</v>
      </c>
      <c r="C320" s="137">
        <v>0</v>
      </c>
      <c r="D320" s="138">
        <v>0</v>
      </c>
      <c r="E320" s="139">
        <v>0</v>
      </c>
      <c r="F320" s="139">
        <v>0</v>
      </c>
      <c r="G320" s="139">
        <v>0</v>
      </c>
      <c r="H320" s="139">
        <v>0</v>
      </c>
      <c r="I320" s="139">
        <v>0</v>
      </c>
      <c r="J320" s="139">
        <v>0</v>
      </c>
      <c r="K320" s="139">
        <v>0</v>
      </c>
      <c r="L320" s="139">
        <v>0</v>
      </c>
      <c r="M320" s="139">
        <v>0</v>
      </c>
      <c r="N320" s="139">
        <v>0</v>
      </c>
      <c r="O320" s="139">
        <v>0</v>
      </c>
      <c r="P320" s="139">
        <v>0</v>
      </c>
      <c r="Q320" s="139">
        <v>0</v>
      </c>
      <c r="R320" s="139">
        <v>0</v>
      </c>
      <c r="S320" s="139">
        <v>0</v>
      </c>
      <c r="T320" s="139">
        <v>0</v>
      </c>
      <c r="U320" s="139">
        <v>0</v>
      </c>
      <c r="V320" s="139">
        <v>0</v>
      </c>
      <c r="W320" s="139">
        <v>0</v>
      </c>
      <c r="X320" s="139">
        <v>0</v>
      </c>
      <c r="Y320" s="139">
        <v>0</v>
      </c>
      <c r="Z320" s="139">
        <v>0</v>
      </c>
      <c r="AA320" s="139">
        <v>0</v>
      </c>
      <c r="AB320" s="139">
        <v>0</v>
      </c>
      <c r="AC320" s="139">
        <v>0</v>
      </c>
      <c r="AD320" s="139">
        <v>0</v>
      </c>
      <c r="AE320" s="139">
        <v>0</v>
      </c>
      <c r="AF320" s="139">
        <v>0</v>
      </c>
      <c r="AG320" s="139">
        <v>0</v>
      </c>
      <c r="AH320" s="139">
        <v>0</v>
      </c>
      <c r="AI320" s="139">
        <v>0</v>
      </c>
      <c r="AJ320" s="139">
        <v>0</v>
      </c>
      <c r="AK320" s="139">
        <v>0</v>
      </c>
      <c r="AL320" s="139">
        <v>0</v>
      </c>
      <c r="AM320" s="139">
        <v>0</v>
      </c>
      <c r="AN320" s="139">
        <v>9600</v>
      </c>
      <c r="AO320" s="139">
        <v>9600</v>
      </c>
      <c r="AP320" s="139">
        <v>9600</v>
      </c>
      <c r="AQ320" s="139">
        <v>9600</v>
      </c>
      <c r="AR320" s="139">
        <v>9600</v>
      </c>
      <c r="AS320" s="139">
        <v>9600</v>
      </c>
      <c r="AT320" s="139">
        <v>9600</v>
      </c>
      <c r="AU320" s="139">
        <v>9600</v>
      </c>
      <c r="AV320" s="140"/>
    </row>
    <row r="321" spans="2:48" ht="15.75" customHeight="1" x14ac:dyDescent="0.2">
      <c r="B321" s="136" t="s">
        <v>302</v>
      </c>
      <c r="C321" s="137">
        <v>0</v>
      </c>
      <c r="D321" s="138">
        <v>0</v>
      </c>
      <c r="E321" s="139">
        <v>0</v>
      </c>
      <c r="F321" s="139">
        <v>0</v>
      </c>
      <c r="G321" s="139">
        <v>0</v>
      </c>
      <c r="H321" s="139">
        <v>0</v>
      </c>
      <c r="I321" s="139">
        <v>0</v>
      </c>
      <c r="J321" s="139">
        <v>0</v>
      </c>
      <c r="K321" s="139">
        <v>0</v>
      </c>
      <c r="L321" s="139">
        <v>0</v>
      </c>
      <c r="M321" s="139">
        <v>0</v>
      </c>
      <c r="N321" s="139">
        <v>0</v>
      </c>
      <c r="O321" s="139">
        <v>0</v>
      </c>
      <c r="P321" s="139">
        <v>0</v>
      </c>
      <c r="Q321" s="139">
        <v>0</v>
      </c>
      <c r="R321" s="139">
        <v>0</v>
      </c>
      <c r="S321" s="139">
        <v>0</v>
      </c>
      <c r="T321" s="139">
        <v>0</v>
      </c>
      <c r="U321" s="139">
        <v>0</v>
      </c>
      <c r="V321" s="139">
        <v>0</v>
      </c>
      <c r="W321" s="139">
        <v>0</v>
      </c>
      <c r="X321" s="139">
        <v>0</v>
      </c>
      <c r="Y321" s="139">
        <v>0</v>
      </c>
      <c r="Z321" s="139">
        <v>0</v>
      </c>
      <c r="AA321" s="139">
        <v>0</v>
      </c>
      <c r="AB321" s="139">
        <v>0</v>
      </c>
      <c r="AC321" s="139">
        <v>0</v>
      </c>
      <c r="AD321" s="139">
        <v>0</v>
      </c>
      <c r="AE321" s="139">
        <v>0</v>
      </c>
      <c r="AF321" s="139">
        <v>0</v>
      </c>
      <c r="AG321" s="139">
        <v>0</v>
      </c>
      <c r="AH321" s="139">
        <v>0</v>
      </c>
      <c r="AI321" s="139">
        <v>0</v>
      </c>
      <c r="AJ321" s="139">
        <v>0</v>
      </c>
      <c r="AK321" s="139">
        <v>0</v>
      </c>
      <c r="AL321" s="139">
        <v>0</v>
      </c>
      <c r="AM321" s="139">
        <v>0</v>
      </c>
      <c r="AN321" s="139">
        <v>36960</v>
      </c>
      <c r="AO321" s="139">
        <v>36960</v>
      </c>
      <c r="AP321" s="139">
        <v>36960</v>
      </c>
      <c r="AQ321" s="139">
        <v>36960</v>
      </c>
      <c r="AR321" s="139">
        <v>36960</v>
      </c>
      <c r="AS321" s="139">
        <v>36960</v>
      </c>
      <c r="AT321" s="139">
        <v>36960</v>
      </c>
      <c r="AU321" s="139">
        <v>36960</v>
      </c>
      <c r="AV321" s="140"/>
    </row>
    <row r="322" spans="2:48" ht="15.75" customHeight="1" x14ac:dyDescent="0.2">
      <c r="B322" s="136" t="s">
        <v>303</v>
      </c>
      <c r="C322" s="137">
        <v>0</v>
      </c>
      <c r="D322" s="138">
        <v>0</v>
      </c>
      <c r="E322" s="139">
        <v>0</v>
      </c>
      <c r="F322" s="139">
        <v>0</v>
      </c>
      <c r="G322" s="139">
        <v>0</v>
      </c>
      <c r="H322" s="139">
        <v>0</v>
      </c>
      <c r="I322" s="139">
        <v>0</v>
      </c>
      <c r="J322" s="139">
        <v>0</v>
      </c>
      <c r="K322" s="139">
        <v>0</v>
      </c>
      <c r="L322" s="139">
        <v>0</v>
      </c>
      <c r="M322" s="139">
        <v>0</v>
      </c>
      <c r="N322" s="139">
        <v>0</v>
      </c>
      <c r="O322" s="139">
        <v>0</v>
      </c>
      <c r="P322" s="139">
        <v>0</v>
      </c>
      <c r="Q322" s="139">
        <v>0</v>
      </c>
      <c r="R322" s="139">
        <v>0</v>
      </c>
      <c r="S322" s="139">
        <v>0</v>
      </c>
      <c r="T322" s="139">
        <v>0</v>
      </c>
      <c r="U322" s="139">
        <v>0</v>
      </c>
      <c r="V322" s="139">
        <v>0</v>
      </c>
      <c r="W322" s="139">
        <v>0</v>
      </c>
      <c r="X322" s="139">
        <v>0</v>
      </c>
      <c r="Y322" s="139">
        <v>0</v>
      </c>
      <c r="Z322" s="139">
        <v>0</v>
      </c>
      <c r="AA322" s="139">
        <v>0</v>
      </c>
      <c r="AB322" s="139">
        <v>0</v>
      </c>
      <c r="AC322" s="139">
        <v>0</v>
      </c>
      <c r="AD322" s="139">
        <v>0</v>
      </c>
      <c r="AE322" s="139">
        <v>0</v>
      </c>
      <c r="AF322" s="139">
        <v>0</v>
      </c>
      <c r="AG322" s="139">
        <v>0</v>
      </c>
      <c r="AH322" s="139">
        <v>0</v>
      </c>
      <c r="AI322" s="139">
        <v>0</v>
      </c>
      <c r="AJ322" s="139">
        <v>0</v>
      </c>
      <c r="AK322" s="139">
        <v>0</v>
      </c>
      <c r="AL322" s="139">
        <v>0</v>
      </c>
      <c r="AM322" s="139">
        <v>0</v>
      </c>
      <c r="AN322" s="139">
        <v>19980</v>
      </c>
      <c r="AO322" s="139">
        <v>19980</v>
      </c>
      <c r="AP322" s="139">
        <v>19980</v>
      </c>
      <c r="AQ322" s="139">
        <v>19980</v>
      </c>
      <c r="AR322" s="139">
        <v>19980</v>
      </c>
      <c r="AS322" s="139">
        <v>19980</v>
      </c>
      <c r="AT322" s="139">
        <v>19980</v>
      </c>
      <c r="AU322" s="139">
        <v>19980</v>
      </c>
      <c r="AV322" s="140"/>
    </row>
    <row r="323" spans="2:48" ht="15.75" customHeight="1" x14ac:dyDescent="0.2">
      <c r="B323" s="136" t="s">
        <v>304</v>
      </c>
      <c r="C323" s="137">
        <v>0</v>
      </c>
      <c r="D323" s="138">
        <v>0</v>
      </c>
      <c r="E323" s="139">
        <v>0</v>
      </c>
      <c r="F323" s="139">
        <v>0</v>
      </c>
      <c r="G323" s="139">
        <v>0</v>
      </c>
      <c r="H323" s="139">
        <v>0</v>
      </c>
      <c r="I323" s="139">
        <v>0</v>
      </c>
      <c r="J323" s="139">
        <v>0</v>
      </c>
      <c r="K323" s="139">
        <v>0</v>
      </c>
      <c r="L323" s="139">
        <v>0</v>
      </c>
      <c r="M323" s="139">
        <v>0</v>
      </c>
      <c r="N323" s="139">
        <v>0</v>
      </c>
      <c r="O323" s="139">
        <v>0</v>
      </c>
      <c r="P323" s="139">
        <v>0</v>
      </c>
      <c r="Q323" s="139">
        <v>0</v>
      </c>
      <c r="R323" s="139">
        <v>0</v>
      </c>
      <c r="S323" s="139">
        <v>0</v>
      </c>
      <c r="T323" s="139">
        <v>0</v>
      </c>
      <c r="U323" s="139">
        <v>0</v>
      </c>
      <c r="V323" s="139">
        <v>0</v>
      </c>
      <c r="W323" s="139">
        <v>0</v>
      </c>
      <c r="X323" s="139">
        <v>0</v>
      </c>
      <c r="Y323" s="139">
        <v>0</v>
      </c>
      <c r="Z323" s="139">
        <v>0</v>
      </c>
      <c r="AA323" s="139">
        <v>0</v>
      </c>
      <c r="AB323" s="139">
        <v>0</v>
      </c>
      <c r="AC323" s="139">
        <v>0</v>
      </c>
      <c r="AD323" s="139">
        <v>0</v>
      </c>
      <c r="AE323" s="139">
        <v>0</v>
      </c>
      <c r="AF323" s="139">
        <v>0</v>
      </c>
      <c r="AG323" s="139">
        <v>0</v>
      </c>
      <c r="AH323" s="139">
        <v>0</v>
      </c>
      <c r="AI323" s="139">
        <v>0</v>
      </c>
      <c r="AJ323" s="139">
        <v>0</v>
      </c>
      <c r="AK323" s="139">
        <v>0</v>
      </c>
      <c r="AL323" s="139">
        <v>0</v>
      </c>
      <c r="AM323" s="139">
        <v>0</v>
      </c>
      <c r="AN323" s="139">
        <v>0</v>
      </c>
      <c r="AO323" s="139">
        <v>0</v>
      </c>
      <c r="AP323" s="139">
        <v>0</v>
      </c>
      <c r="AQ323" s="139">
        <v>0</v>
      </c>
      <c r="AR323" s="139">
        <v>0</v>
      </c>
      <c r="AS323" s="139">
        <v>0</v>
      </c>
      <c r="AT323" s="139">
        <v>0</v>
      </c>
      <c r="AU323" s="139">
        <v>0</v>
      </c>
      <c r="AV323" s="140"/>
    </row>
    <row r="324" spans="2:48" ht="15.75" customHeight="1" x14ac:dyDescent="0.2">
      <c r="B324" s="136" t="s">
        <v>305</v>
      </c>
      <c r="C324" s="137">
        <v>0</v>
      </c>
      <c r="D324" s="138">
        <v>0</v>
      </c>
      <c r="E324" s="139">
        <v>0</v>
      </c>
      <c r="F324" s="139">
        <v>0</v>
      </c>
      <c r="G324" s="139">
        <v>0</v>
      </c>
      <c r="H324" s="139">
        <v>0</v>
      </c>
      <c r="I324" s="139">
        <v>0</v>
      </c>
      <c r="J324" s="139">
        <v>0</v>
      </c>
      <c r="K324" s="139">
        <v>0</v>
      </c>
      <c r="L324" s="139">
        <v>0</v>
      </c>
      <c r="M324" s="139">
        <v>0</v>
      </c>
      <c r="N324" s="139">
        <v>0</v>
      </c>
      <c r="O324" s="139">
        <v>0</v>
      </c>
      <c r="P324" s="139">
        <v>0</v>
      </c>
      <c r="Q324" s="139">
        <v>0</v>
      </c>
      <c r="R324" s="139">
        <v>0</v>
      </c>
      <c r="S324" s="139">
        <v>0</v>
      </c>
      <c r="T324" s="139">
        <v>0</v>
      </c>
      <c r="U324" s="139">
        <v>0</v>
      </c>
      <c r="V324" s="139">
        <v>0</v>
      </c>
      <c r="W324" s="139">
        <v>0</v>
      </c>
      <c r="X324" s="139">
        <v>0</v>
      </c>
      <c r="Y324" s="139">
        <v>0</v>
      </c>
      <c r="Z324" s="139">
        <v>0</v>
      </c>
      <c r="AA324" s="139">
        <v>0</v>
      </c>
      <c r="AB324" s="139">
        <v>0</v>
      </c>
      <c r="AC324" s="139">
        <v>0</v>
      </c>
      <c r="AD324" s="139">
        <v>0</v>
      </c>
      <c r="AE324" s="139">
        <v>0</v>
      </c>
      <c r="AF324" s="139">
        <v>0</v>
      </c>
      <c r="AG324" s="139">
        <v>0</v>
      </c>
      <c r="AH324" s="139">
        <v>0</v>
      </c>
      <c r="AI324" s="139">
        <v>0</v>
      </c>
      <c r="AJ324" s="139">
        <v>0</v>
      </c>
      <c r="AK324" s="139">
        <v>0</v>
      </c>
      <c r="AL324" s="139">
        <v>0</v>
      </c>
      <c r="AM324" s="139">
        <v>0</v>
      </c>
      <c r="AN324" s="139">
        <v>35100</v>
      </c>
      <c r="AO324" s="139">
        <v>35100</v>
      </c>
      <c r="AP324" s="139">
        <v>35100</v>
      </c>
      <c r="AQ324" s="139">
        <v>35100</v>
      </c>
      <c r="AR324" s="139">
        <v>35100</v>
      </c>
      <c r="AS324" s="139">
        <v>35100</v>
      </c>
      <c r="AT324" s="139">
        <v>35100</v>
      </c>
      <c r="AU324" s="139">
        <v>35100</v>
      </c>
      <c r="AV324" s="140"/>
    </row>
    <row r="325" spans="2:48" ht="15.75" customHeight="1" x14ac:dyDescent="0.2">
      <c r="B325" s="136" t="s">
        <v>306</v>
      </c>
      <c r="C325" s="137">
        <v>0</v>
      </c>
      <c r="D325" s="138">
        <v>0</v>
      </c>
      <c r="E325" s="139">
        <v>0</v>
      </c>
      <c r="F325" s="139">
        <v>0</v>
      </c>
      <c r="G325" s="139">
        <v>0</v>
      </c>
      <c r="H325" s="139">
        <v>0</v>
      </c>
      <c r="I325" s="139">
        <v>0</v>
      </c>
      <c r="J325" s="139">
        <v>0</v>
      </c>
      <c r="K325" s="139">
        <v>0</v>
      </c>
      <c r="L325" s="139">
        <v>0</v>
      </c>
      <c r="M325" s="139">
        <v>0</v>
      </c>
      <c r="N325" s="139">
        <v>0</v>
      </c>
      <c r="O325" s="139">
        <v>0</v>
      </c>
      <c r="P325" s="139">
        <v>0</v>
      </c>
      <c r="Q325" s="139">
        <v>0</v>
      </c>
      <c r="R325" s="139">
        <v>0</v>
      </c>
      <c r="S325" s="139">
        <v>0</v>
      </c>
      <c r="T325" s="139">
        <v>0</v>
      </c>
      <c r="U325" s="139">
        <v>0</v>
      </c>
      <c r="V325" s="139">
        <v>0</v>
      </c>
      <c r="W325" s="139">
        <v>0</v>
      </c>
      <c r="X325" s="139">
        <v>0</v>
      </c>
      <c r="Y325" s="139">
        <v>0</v>
      </c>
      <c r="Z325" s="139">
        <v>0</v>
      </c>
      <c r="AA325" s="139">
        <v>0</v>
      </c>
      <c r="AB325" s="139">
        <v>0</v>
      </c>
      <c r="AC325" s="139">
        <v>0</v>
      </c>
      <c r="AD325" s="139">
        <v>0</v>
      </c>
      <c r="AE325" s="139">
        <v>0</v>
      </c>
      <c r="AF325" s="139">
        <v>0</v>
      </c>
      <c r="AG325" s="139">
        <v>0</v>
      </c>
      <c r="AH325" s="139">
        <v>0</v>
      </c>
      <c r="AI325" s="139">
        <v>0</v>
      </c>
      <c r="AJ325" s="139">
        <v>0</v>
      </c>
      <c r="AK325" s="139">
        <v>0</v>
      </c>
      <c r="AL325" s="139">
        <v>0</v>
      </c>
      <c r="AM325" s="139">
        <v>0</v>
      </c>
      <c r="AN325" s="139">
        <v>21600</v>
      </c>
      <c r="AO325" s="139">
        <v>21600</v>
      </c>
      <c r="AP325" s="139">
        <v>21600</v>
      </c>
      <c r="AQ325" s="139">
        <v>21600</v>
      </c>
      <c r="AR325" s="139">
        <v>21600</v>
      </c>
      <c r="AS325" s="139">
        <v>21600</v>
      </c>
      <c r="AT325" s="139">
        <v>21600</v>
      </c>
      <c r="AU325" s="139">
        <v>21600</v>
      </c>
      <c r="AV325" s="140"/>
    </row>
    <row r="326" spans="2:48" ht="15.75" customHeight="1" x14ac:dyDescent="0.2">
      <c r="B326" s="136" t="s">
        <v>307</v>
      </c>
      <c r="C326" s="137">
        <v>0</v>
      </c>
      <c r="D326" s="138">
        <v>0</v>
      </c>
      <c r="E326" s="139">
        <v>0</v>
      </c>
      <c r="F326" s="139">
        <v>0</v>
      </c>
      <c r="G326" s="139">
        <v>0</v>
      </c>
      <c r="H326" s="139">
        <v>0</v>
      </c>
      <c r="I326" s="139">
        <v>0</v>
      </c>
      <c r="J326" s="139">
        <v>0</v>
      </c>
      <c r="K326" s="139">
        <v>0</v>
      </c>
      <c r="L326" s="139">
        <v>0</v>
      </c>
      <c r="M326" s="139">
        <v>0</v>
      </c>
      <c r="N326" s="139">
        <v>0</v>
      </c>
      <c r="O326" s="139">
        <v>0</v>
      </c>
      <c r="P326" s="139">
        <v>0</v>
      </c>
      <c r="Q326" s="139">
        <v>0</v>
      </c>
      <c r="R326" s="139">
        <v>0</v>
      </c>
      <c r="S326" s="139">
        <v>0</v>
      </c>
      <c r="T326" s="139">
        <v>0</v>
      </c>
      <c r="U326" s="139">
        <v>0</v>
      </c>
      <c r="V326" s="139">
        <v>0</v>
      </c>
      <c r="W326" s="139">
        <v>0</v>
      </c>
      <c r="X326" s="139">
        <v>0</v>
      </c>
      <c r="Y326" s="139">
        <v>0</v>
      </c>
      <c r="Z326" s="139">
        <v>0</v>
      </c>
      <c r="AA326" s="139">
        <v>0</v>
      </c>
      <c r="AB326" s="139">
        <v>0</v>
      </c>
      <c r="AC326" s="139">
        <v>0</v>
      </c>
      <c r="AD326" s="139">
        <v>0</v>
      </c>
      <c r="AE326" s="139">
        <v>0</v>
      </c>
      <c r="AF326" s="139">
        <v>0</v>
      </c>
      <c r="AG326" s="139">
        <v>0</v>
      </c>
      <c r="AH326" s="139">
        <v>0</v>
      </c>
      <c r="AI326" s="139">
        <v>0</v>
      </c>
      <c r="AJ326" s="139">
        <v>0</v>
      </c>
      <c r="AK326" s="139">
        <v>0</v>
      </c>
      <c r="AL326" s="139">
        <v>0</v>
      </c>
      <c r="AM326" s="139">
        <v>0</v>
      </c>
      <c r="AN326" s="139">
        <v>8000</v>
      </c>
      <c r="AO326" s="139">
        <v>8000</v>
      </c>
      <c r="AP326" s="139">
        <v>8000</v>
      </c>
      <c r="AQ326" s="139">
        <v>8000</v>
      </c>
      <c r="AR326" s="139">
        <v>8000</v>
      </c>
      <c r="AS326" s="139">
        <v>8000</v>
      </c>
      <c r="AT326" s="139">
        <v>8000</v>
      </c>
      <c r="AU326" s="139">
        <v>8000</v>
      </c>
      <c r="AV326" s="140"/>
    </row>
    <row r="327" spans="2:48" ht="15.75" customHeight="1" x14ac:dyDescent="0.2">
      <c r="B327" s="136" t="s">
        <v>308</v>
      </c>
      <c r="C327" s="137">
        <v>0</v>
      </c>
      <c r="D327" s="138">
        <v>0</v>
      </c>
      <c r="E327" s="139">
        <v>0</v>
      </c>
      <c r="F327" s="139">
        <v>0</v>
      </c>
      <c r="G327" s="139">
        <v>0</v>
      </c>
      <c r="H327" s="139">
        <v>0</v>
      </c>
      <c r="I327" s="139">
        <v>0</v>
      </c>
      <c r="J327" s="139">
        <v>0</v>
      </c>
      <c r="K327" s="139">
        <v>0</v>
      </c>
      <c r="L327" s="139">
        <v>0</v>
      </c>
      <c r="M327" s="139">
        <v>0</v>
      </c>
      <c r="N327" s="139">
        <v>0</v>
      </c>
      <c r="O327" s="139">
        <v>0</v>
      </c>
      <c r="P327" s="139">
        <v>0</v>
      </c>
      <c r="Q327" s="139">
        <v>0</v>
      </c>
      <c r="R327" s="139">
        <v>0</v>
      </c>
      <c r="S327" s="139">
        <v>0</v>
      </c>
      <c r="T327" s="139">
        <v>0</v>
      </c>
      <c r="U327" s="139">
        <v>0</v>
      </c>
      <c r="V327" s="139">
        <v>0</v>
      </c>
      <c r="W327" s="139">
        <v>0</v>
      </c>
      <c r="X327" s="139">
        <v>0</v>
      </c>
      <c r="Y327" s="139">
        <v>0</v>
      </c>
      <c r="Z327" s="139">
        <v>0</v>
      </c>
      <c r="AA327" s="139">
        <v>0</v>
      </c>
      <c r="AB327" s="139">
        <v>0</v>
      </c>
      <c r="AC327" s="139">
        <v>0</v>
      </c>
      <c r="AD327" s="139">
        <v>0</v>
      </c>
      <c r="AE327" s="139">
        <v>0</v>
      </c>
      <c r="AF327" s="139">
        <v>0</v>
      </c>
      <c r="AG327" s="139">
        <v>0</v>
      </c>
      <c r="AH327" s="139">
        <v>0</v>
      </c>
      <c r="AI327" s="139">
        <v>0</v>
      </c>
      <c r="AJ327" s="139">
        <v>0</v>
      </c>
      <c r="AK327" s="139">
        <v>0</v>
      </c>
      <c r="AL327" s="139">
        <v>0</v>
      </c>
      <c r="AM327" s="139">
        <v>0</v>
      </c>
      <c r="AN327" s="139">
        <v>29160</v>
      </c>
      <c r="AO327" s="139">
        <v>29160</v>
      </c>
      <c r="AP327" s="139">
        <v>29160</v>
      </c>
      <c r="AQ327" s="139">
        <v>29160</v>
      </c>
      <c r="AR327" s="139">
        <v>29160</v>
      </c>
      <c r="AS327" s="139">
        <v>29160</v>
      </c>
      <c r="AT327" s="139">
        <v>29160</v>
      </c>
      <c r="AU327" s="139">
        <v>29160</v>
      </c>
      <c r="AV327" s="140"/>
    </row>
    <row r="328" spans="2:48" ht="15.75" customHeight="1" x14ac:dyDescent="0.2">
      <c r="B328" s="136" t="s">
        <v>309</v>
      </c>
      <c r="C328" s="137">
        <v>0</v>
      </c>
      <c r="D328" s="138">
        <v>0</v>
      </c>
      <c r="E328" s="139">
        <v>0</v>
      </c>
      <c r="F328" s="139">
        <v>0</v>
      </c>
      <c r="G328" s="139">
        <v>0</v>
      </c>
      <c r="H328" s="139">
        <v>0</v>
      </c>
      <c r="I328" s="139">
        <v>0</v>
      </c>
      <c r="J328" s="139">
        <v>0</v>
      </c>
      <c r="K328" s="139">
        <v>0</v>
      </c>
      <c r="L328" s="139">
        <v>0</v>
      </c>
      <c r="M328" s="139">
        <v>0</v>
      </c>
      <c r="N328" s="139">
        <v>0</v>
      </c>
      <c r="O328" s="139">
        <v>0</v>
      </c>
      <c r="P328" s="139">
        <v>0</v>
      </c>
      <c r="Q328" s="139">
        <v>0</v>
      </c>
      <c r="R328" s="139">
        <v>0</v>
      </c>
      <c r="S328" s="139">
        <v>0</v>
      </c>
      <c r="T328" s="139">
        <v>0</v>
      </c>
      <c r="U328" s="139">
        <v>0</v>
      </c>
      <c r="V328" s="139">
        <v>0</v>
      </c>
      <c r="W328" s="139">
        <v>0</v>
      </c>
      <c r="X328" s="139">
        <v>0</v>
      </c>
      <c r="Y328" s="139">
        <v>0</v>
      </c>
      <c r="Z328" s="139">
        <v>0</v>
      </c>
      <c r="AA328" s="139">
        <v>0</v>
      </c>
      <c r="AB328" s="139">
        <v>0</v>
      </c>
      <c r="AC328" s="139">
        <v>0</v>
      </c>
      <c r="AD328" s="139">
        <v>0</v>
      </c>
      <c r="AE328" s="139">
        <v>0</v>
      </c>
      <c r="AF328" s="139">
        <v>0</v>
      </c>
      <c r="AG328" s="139">
        <v>0</v>
      </c>
      <c r="AH328" s="139">
        <v>0</v>
      </c>
      <c r="AI328" s="139">
        <v>0</v>
      </c>
      <c r="AJ328" s="139">
        <v>0</v>
      </c>
      <c r="AK328" s="139">
        <v>0</v>
      </c>
      <c r="AL328" s="139">
        <v>0</v>
      </c>
      <c r="AM328" s="139">
        <v>0</v>
      </c>
      <c r="AN328" s="139">
        <v>33906</v>
      </c>
      <c r="AO328" s="139">
        <v>33906</v>
      </c>
      <c r="AP328" s="139">
        <v>33906</v>
      </c>
      <c r="AQ328" s="139">
        <v>33906</v>
      </c>
      <c r="AR328" s="139">
        <v>33906</v>
      </c>
      <c r="AS328" s="139">
        <v>33906</v>
      </c>
      <c r="AT328" s="139">
        <v>33906</v>
      </c>
      <c r="AU328" s="139">
        <v>33906</v>
      </c>
      <c r="AV328" s="140"/>
    </row>
    <row r="329" spans="2:48" ht="15.75" customHeight="1" x14ac:dyDescent="0.2">
      <c r="B329" s="136" t="s">
        <v>310</v>
      </c>
      <c r="C329" s="137">
        <v>0</v>
      </c>
      <c r="D329" s="138">
        <v>0</v>
      </c>
      <c r="E329" s="139">
        <v>0</v>
      </c>
      <c r="F329" s="139">
        <v>0</v>
      </c>
      <c r="G329" s="139">
        <v>0</v>
      </c>
      <c r="H329" s="139">
        <v>0</v>
      </c>
      <c r="I329" s="139">
        <v>0</v>
      </c>
      <c r="J329" s="139">
        <v>0</v>
      </c>
      <c r="K329" s="139">
        <v>0</v>
      </c>
      <c r="L329" s="139">
        <v>0</v>
      </c>
      <c r="M329" s="139">
        <v>0</v>
      </c>
      <c r="N329" s="139">
        <v>0</v>
      </c>
      <c r="O329" s="139">
        <v>0</v>
      </c>
      <c r="P329" s="139">
        <v>0</v>
      </c>
      <c r="Q329" s="139">
        <v>0</v>
      </c>
      <c r="R329" s="139">
        <v>0</v>
      </c>
      <c r="S329" s="139">
        <v>0</v>
      </c>
      <c r="T329" s="139">
        <v>0</v>
      </c>
      <c r="U329" s="139">
        <v>0</v>
      </c>
      <c r="V329" s="139">
        <v>0</v>
      </c>
      <c r="W329" s="139">
        <v>0</v>
      </c>
      <c r="X329" s="139">
        <v>0</v>
      </c>
      <c r="Y329" s="139">
        <v>0</v>
      </c>
      <c r="Z329" s="139">
        <v>0</v>
      </c>
      <c r="AA329" s="139">
        <v>0</v>
      </c>
      <c r="AB329" s="139">
        <v>0</v>
      </c>
      <c r="AC329" s="139">
        <v>0</v>
      </c>
      <c r="AD329" s="139">
        <v>0</v>
      </c>
      <c r="AE329" s="139">
        <v>0</v>
      </c>
      <c r="AF329" s="139">
        <v>0</v>
      </c>
      <c r="AG329" s="139">
        <v>0</v>
      </c>
      <c r="AH329" s="139">
        <v>0</v>
      </c>
      <c r="AI329" s="139">
        <v>0</v>
      </c>
      <c r="AJ329" s="139">
        <v>0</v>
      </c>
      <c r="AK329" s="139">
        <v>0</v>
      </c>
      <c r="AL329" s="139">
        <v>0</v>
      </c>
      <c r="AM329" s="139">
        <v>0</v>
      </c>
      <c r="AN329" s="139">
        <v>13800</v>
      </c>
      <c r="AO329" s="139">
        <v>13800</v>
      </c>
      <c r="AP329" s="139">
        <v>13800</v>
      </c>
      <c r="AQ329" s="139">
        <v>13800</v>
      </c>
      <c r="AR329" s="139">
        <v>13800</v>
      </c>
      <c r="AS329" s="139">
        <v>13800</v>
      </c>
      <c r="AT329" s="139">
        <v>13800</v>
      </c>
      <c r="AU329" s="139">
        <v>13800</v>
      </c>
      <c r="AV329" s="140"/>
    </row>
    <row r="330" spans="2:48" ht="15.75" customHeight="1" x14ac:dyDescent="0.2">
      <c r="B330" s="136" t="s">
        <v>311</v>
      </c>
      <c r="C330" s="137">
        <v>0</v>
      </c>
      <c r="D330" s="138">
        <v>0</v>
      </c>
      <c r="E330" s="139">
        <v>0</v>
      </c>
      <c r="F330" s="139">
        <v>0</v>
      </c>
      <c r="G330" s="139">
        <v>0</v>
      </c>
      <c r="H330" s="139">
        <v>0</v>
      </c>
      <c r="I330" s="139">
        <v>0</v>
      </c>
      <c r="J330" s="139">
        <v>0</v>
      </c>
      <c r="K330" s="139">
        <v>0</v>
      </c>
      <c r="L330" s="139">
        <v>0</v>
      </c>
      <c r="M330" s="139">
        <v>0</v>
      </c>
      <c r="N330" s="139">
        <v>0</v>
      </c>
      <c r="O330" s="139">
        <v>0</v>
      </c>
      <c r="P330" s="139">
        <v>0</v>
      </c>
      <c r="Q330" s="139">
        <v>0</v>
      </c>
      <c r="R330" s="139">
        <v>0</v>
      </c>
      <c r="S330" s="139">
        <v>0</v>
      </c>
      <c r="T330" s="139">
        <v>0</v>
      </c>
      <c r="U330" s="139">
        <v>0</v>
      </c>
      <c r="V330" s="139">
        <v>0</v>
      </c>
      <c r="W330" s="139">
        <v>0</v>
      </c>
      <c r="X330" s="139">
        <v>0</v>
      </c>
      <c r="Y330" s="139">
        <v>0</v>
      </c>
      <c r="Z330" s="139">
        <v>0</v>
      </c>
      <c r="AA330" s="139">
        <v>0</v>
      </c>
      <c r="AB330" s="139">
        <v>0</v>
      </c>
      <c r="AC330" s="139">
        <v>0</v>
      </c>
      <c r="AD330" s="139">
        <v>0</v>
      </c>
      <c r="AE330" s="139">
        <v>0</v>
      </c>
      <c r="AF330" s="139">
        <v>0</v>
      </c>
      <c r="AG330" s="139">
        <v>0</v>
      </c>
      <c r="AH330" s="139">
        <v>0</v>
      </c>
      <c r="AI330" s="139">
        <v>0</v>
      </c>
      <c r="AJ330" s="139">
        <v>0</v>
      </c>
      <c r="AK330" s="139">
        <v>0</v>
      </c>
      <c r="AL330" s="139">
        <v>0</v>
      </c>
      <c r="AM330" s="139">
        <v>0</v>
      </c>
      <c r="AN330" s="139">
        <v>8000</v>
      </c>
      <c r="AO330" s="139">
        <v>8000</v>
      </c>
      <c r="AP330" s="139">
        <v>8000</v>
      </c>
      <c r="AQ330" s="139">
        <v>8000</v>
      </c>
      <c r="AR330" s="139">
        <v>8000</v>
      </c>
      <c r="AS330" s="139">
        <v>8000</v>
      </c>
      <c r="AT330" s="139">
        <v>8000</v>
      </c>
      <c r="AU330" s="139">
        <v>8000</v>
      </c>
      <c r="AV330" s="140"/>
    </row>
    <row r="331" spans="2:48" ht="15.75" customHeight="1" x14ac:dyDescent="0.2">
      <c r="B331" s="136" t="s">
        <v>312</v>
      </c>
      <c r="C331" s="137">
        <v>0</v>
      </c>
      <c r="D331" s="138">
        <v>0</v>
      </c>
      <c r="E331" s="139">
        <v>0</v>
      </c>
      <c r="F331" s="139">
        <v>0</v>
      </c>
      <c r="G331" s="139">
        <v>0</v>
      </c>
      <c r="H331" s="139">
        <v>0</v>
      </c>
      <c r="I331" s="139">
        <v>0</v>
      </c>
      <c r="J331" s="139">
        <v>0</v>
      </c>
      <c r="K331" s="139">
        <v>0</v>
      </c>
      <c r="L331" s="139">
        <v>0</v>
      </c>
      <c r="M331" s="139">
        <v>0</v>
      </c>
      <c r="N331" s="139">
        <v>0</v>
      </c>
      <c r="O331" s="139">
        <v>0</v>
      </c>
      <c r="P331" s="139">
        <v>0</v>
      </c>
      <c r="Q331" s="139">
        <v>0</v>
      </c>
      <c r="R331" s="139">
        <v>0</v>
      </c>
      <c r="S331" s="139">
        <v>0</v>
      </c>
      <c r="T331" s="139">
        <v>0</v>
      </c>
      <c r="U331" s="139">
        <v>0</v>
      </c>
      <c r="V331" s="139">
        <v>0</v>
      </c>
      <c r="W331" s="139">
        <v>0</v>
      </c>
      <c r="X331" s="139">
        <v>0</v>
      </c>
      <c r="Y331" s="139">
        <v>0</v>
      </c>
      <c r="Z331" s="139">
        <v>0</v>
      </c>
      <c r="AA331" s="139">
        <v>0</v>
      </c>
      <c r="AB331" s="139">
        <v>0</v>
      </c>
      <c r="AC331" s="139">
        <v>0</v>
      </c>
      <c r="AD331" s="139">
        <v>0</v>
      </c>
      <c r="AE331" s="139">
        <v>0</v>
      </c>
      <c r="AF331" s="139">
        <v>0</v>
      </c>
      <c r="AG331" s="139">
        <v>0</v>
      </c>
      <c r="AH331" s="139">
        <v>0</v>
      </c>
      <c r="AI331" s="139">
        <v>0</v>
      </c>
      <c r="AJ331" s="139">
        <v>0</v>
      </c>
      <c r="AK331" s="139">
        <v>0</v>
      </c>
      <c r="AL331" s="139">
        <v>0</v>
      </c>
      <c r="AM331" s="139">
        <v>0</v>
      </c>
      <c r="AN331" s="139">
        <v>9600</v>
      </c>
      <c r="AO331" s="139">
        <v>9600</v>
      </c>
      <c r="AP331" s="139">
        <v>9600</v>
      </c>
      <c r="AQ331" s="139">
        <v>9600</v>
      </c>
      <c r="AR331" s="139">
        <v>9600</v>
      </c>
      <c r="AS331" s="139">
        <v>9600</v>
      </c>
      <c r="AT331" s="139">
        <v>9600</v>
      </c>
      <c r="AU331" s="139">
        <v>9600</v>
      </c>
      <c r="AV331" s="140"/>
    </row>
    <row r="332" spans="2:48" ht="15.75" customHeight="1" x14ac:dyDescent="0.2">
      <c r="B332" s="136" t="s">
        <v>313</v>
      </c>
      <c r="C332" s="137">
        <v>0</v>
      </c>
      <c r="D332" s="138">
        <v>0</v>
      </c>
      <c r="E332" s="139">
        <v>0</v>
      </c>
      <c r="F332" s="139">
        <v>0</v>
      </c>
      <c r="G332" s="139">
        <v>0</v>
      </c>
      <c r="H332" s="139">
        <v>0</v>
      </c>
      <c r="I332" s="139">
        <v>0</v>
      </c>
      <c r="J332" s="139">
        <v>0</v>
      </c>
      <c r="K332" s="139">
        <v>0</v>
      </c>
      <c r="L332" s="139">
        <v>0</v>
      </c>
      <c r="M332" s="139">
        <v>0</v>
      </c>
      <c r="N332" s="139">
        <v>0</v>
      </c>
      <c r="O332" s="139">
        <v>0</v>
      </c>
      <c r="P332" s="139">
        <v>0</v>
      </c>
      <c r="Q332" s="139">
        <v>0</v>
      </c>
      <c r="R332" s="139">
        <v>0</v>
      </c>
      <c r="S332" s="139">
        <v>0</v>
      </c>
      <c r="T332" s="139">
        <v>0</v>
      </c>
      <c r="U332" s="139">
        <v>0</v>
      </c>
      <c r="V332" s="139">
        <v>0</v>
      </c>
      <c r="W332" s="139">
        <v>0</v>
      </c>
      <c r="X332" s="139">
        <v>0</v>
      </c>
      <c r="Y332" s="139">
        <v>0</v>
      </c>
      <c r="Z332" s="139">
        <v>0</v>
      </c>
      <c r="AA332" s="139">
        <v>0</v>
      </c>
      <c r="AB332" s="139">
        <v>0</v>
      </c>
      <c r="AC332" s="139">
        <v>0</v>
      </c>
      <c r="AD332" s="139">
        <v>0</v>
      </c>
      <c r="AE332" s="139">
        <v>0</v>
      </c>
      <c r="AF332" s="139">
        <v>0</v>
      </c>
      <c r="AG332" s="139">
        <v>0</v>
      </c>
      <c r="AH332" s="139">
        <v>0</v>
      </c>
      <c r="AI332" s="139">
        <v>0</v>
      </c>
      <c r="AJ332" s="139">
        <v>0</v>
      </c>
      <c r="AK332" s="139">
        <v>0</v>
      </c>
      <c r="AL332" s="139">
        <v>0</v>
      </c>
      <c r="AM332" s="139">
        <v>0</v>
      </c>
      <c r="AN332" s="139">
        <v>21684</v>
      </c>
      <c r="AO332" s="139">
        <v>21684</v>
      </c>
      <c r="AP332" s="139">
        <v>21684</v>
      </c>
      <c r="AQ332" s="139">
        <v>21684</v>
      </c>
      <c r="AR332" s="139">
        <v>21684</v>
      </c>
      <c r="AS332" s="139">
        <v>21684</v>
      </c>
      <c r="AT332" s="139">
        <v>21684</v>
      </c>
      <c r="AU332" s="139">
        <v>21684</v>
      </c>
      <c r="AV332" s="140"/>
    </row>
    <row r="333" spans="2:48" ht="15.75" customHeight="1" x14ac:dyDescent="0.2">
      <c r="B333" s="136" t="s">
        <v>314</v>
      </c>
      <c r="C333" s="137">
        <v>0</v>
      </c>
      <c r="D333" s="138">
        <v>0</v>
      </c>
      <c r="E333" s="139">
        <v>0</v>
      </c>
      <c r="F333" s="139">
        <v>0</v>
      </c>
      <c r="G333" s="139">
        <v>0</v>
      </c>
      <c r="H333" s="139">
        <v>0</v>
      </c>
      <c r="I333" s="139">
        <v>0</v>
      </c>
      <c r="J333" s="139">
        <v>0</v>
      </c>
      <c r="K333" s="139">
        <v>0</v>
      </c>
      <c r="L333" s="139">
        <v>0</v>
      </c>
      <c r="M333" s="139">
        <v>0</v>
      </c>
      <c r="N333" s="139">
        <v>0</v>
      </c>
      <c r="O333" s="139">
        <v>0</v>
      </c>
      <c r="P333" s="139">
        <v>0</v>
      </c>
      <c r="Q333" s="139">
        <v>0</v>
      </c>
      <c r="R333" s="139">
        <v>0</v>
      </c>
      <c r="S333" s="139">
        <v>0</v>
      </c>
      <c r="T333" s="139">
        <v>0</v>
      </c>
      <c r="U333" s="139">
        <v>0</v>
      </c>
      <c r="V333" s="139">
        <v>0</v>
      </c>
      <c r="W333" s="139">
        <v>0</v>
      </c>
      <c r="X333" s="139">
        <v>0</v>
      </c>
      <c r="Y333" s="139">
        <v>0</v>
      </c>
      <c r="Z333" s="139">
        <v>0</v>
      </c>
      <c r="AA333" s="139">
        <v>0</v>
      </c>
      <c r="AB333" s="139">
        <v>0</v>
      </c>
      <c r="AC333" s="139">
        <v>0</v>
      </c>
      <c r="AD333" s="139">
        <v>0</v>
      </c>
      <c r="AE333" s="139">
        <v>0</v>
      </c>
      <c r="AF333" s="139">
        <v>0</v>
      </c>
      <c r="AG333" s="139">
        <v>0</v>
      </c>
      <c r="AH333" s="139">
        <v>0</v>
      </c>
      <c r="AI333" s="139">
        <v>0</v>
      </c>
      <c r="AJ333" s="139">
        <v>0</v>
      </c>
      <c r="AK333" s="139">
        <v>0</v>
      </c>
      <c r="AL333" s="139">
        <v>0</v>
      </c>
      <c r="AM333" s="139">
        <v>0</v>
      </c>
      <c r="AN333" s="139">
        <v>0</v>
      </c>
      <c r="AO333" s="139">
        <v>9600</v>
      </c>
      <c r="AP333" s="139">
        <v>9600</v>
      </c>
      <c r="AQ333" s="139">
        <v>9600</v>
      </c>
      <c r="AR333" s="139">
        <v>9600</v>
      </c>
      <c r="AS333" s="139">
        <v>9600</v>
      </c>
      <c r="AT333" s="139">
        <v>9600</v>
      </c>
      <c r="AU333" s="139">
        <v>9600</v>
      </c>
      <c r="AV333" s="140"/>
    </row>
    <row r="334" spans="2:48" ht="15.75" customHeight="1" x14ac:dyDescent="0.2">
      <c r="B334" s="136" t="s">
        <v>315</v>
      </c>
      <c r="C334" s="137">
        <v>0</v>
      </c>
      <c r="D334" s="138">
        <v>0</v>
      </c>
      <c r="E334" s="139">
        <v>0</v>
      </c>
      <c r="F334" s="139">
        <v>0</v>
      </c>
      <c r="G334" s="139">
        <v>0</v>
      </c>
      <c r="H334" s="139">
        <v>0</v>
      </c>
      <c r="I334" s="139">
        <v>0</v>
      </c>
      <c r="J334" s="139">
        <v>0</v>
      </c>
      <c r="K334" s="139">
        <v>0</v>
      </c>
      <c r="L334" s="139">
        <v>0</v>
      </c>
      <c r="M334" s="139">
        <v>0</v>
      </c>
      <c r="N334" s="139">
        <v>0</v>
      </c>
      <c r="O334" s="139">
        <v>0</v>
      </c>
      <c r="P334" s="139">
        <v>0</v>
      </c>
      <c r="Q334" s="139">
        <v>0</v>
      </c>
      <c r="R334" s="139">
        <v>0</v>
      </c>
      <c r="S334" s="139">
        <v>0</v>
      </c>
      <c r="T334" s="139">
        <v>0</v>
      </c>
      <c r="U334" s="139">
        <v>0</v>
      </c>
      <c r="V334" s="139">
        <v>0</v>
      </c>
      <c r="W334" s="139">
        <v>0</v>
      </c>
      <c r="X334" s="139">
        <v>0</v>
      </c>
      <c r="Y334" s="139">
        <v>0</v>
      </c>
      <c r="Z334" s="139">
        <v>0</v>
      </c>
      <c r="AA334" s="139">
        <v>0</v>
      </c>
      <c r="AB334" s="139">
        <v>0</v>
      </c>
      <c r="AC334" s="139">
        <v>0</v>
      </c>
      <c r="AD334" s="139">
        <v>0</v>
      </c>
      <c r="AE334" s="139">
        <v>0</v>
      </c>
      <c r="AF334" s="139">
        <v>0</v>
      </c>
      <c r="AG334" s="139">
        <v>0</v>
      </c>
      <c r="AH334" s="139">
        <v>0</v>
      </c>
      <c r="AI334" s="139">
        <v>0</v>
      </c>
      <c r="AJ334" s="139">
        <v>0</v>
      </c>
      <c r="AK334" s="139">
        <v>0</v>
      </c>
      <c r="AL334" s="139">
        <v>0</v>
      </c>
      <c r="AM334" s="139">
        <v>0</v>
      </c>
      <c r="AN334" s="139">
        <v>0</v>
      </c>
      <c r="AO334" s="139">
        <v>9600</v>
      </c>
      <c r="AP334" s="139">
        <v>9600</v>
      </c>
      <c r="AQ334" s="139">
        <v>9600</v>
      </c>
      <c r="AR334" s="139">
        <v>9600</v>
      </c>
      <c r="AS334" s="139">
        <v>9600</v>
      </c>
      <c r="AT334" s="139">
        <v>9600</v>
      </c>
      <c r="AU334" s="139">
        <v>9600</v>
      </c>
      <c r="AV334" s="140"/>
    </row>
    <row r="335" spans="2:48" ht="15.75" customHeight="1" x14ac:dyDescent="0.2">
      <c r="B335" s="136" t="s">
        <v>316</v>
      </c>
      <c r="C335" s="137">
        <v>0</v>
      </c>
      <c r="D335" s="138">
        <v>0</v>
      </c>
      <c r="E335" s="139">
        <v>0</v>
      </c>
      <c r="F335" s="139">
        <v>0</v>
      </c>
      <c r="G335" s="139">
        <v>0</v>
      </c>
      <c r="H335" s="139">
        <v>0</v>
      </c>
      <c r="I335" s="139">
        <v>0</v>
      </c>
      <c r="J335" s="139">
        <v>0</v>
      </c>
      <c r="K335" s="139">
        <v>0</v>
      </c>
      <c r="L335" s="139">
        <v>0</v>
      </c>
      <c r="M335" s="139">
        <v>0</v>
      </c>
      <c r="N335" s="139">
        <v>0</v>
      </c>
      <c r="O335" s="139">
        <v>0</v>
      </c>
      <c r="P335" s="139">
        <v>0</v>
      </c>
      <c r="Q335" s="139">
        <v>0</v>
      </c>
      <c r="R335" s="139">
        <v>0</v>
      </c>
      <c r="S335" s="139">
        <v>0</v>
      </c>
      <c r="T335" s="139">
        <v>0</v>
      </c>
      <c r="U335" s="139">
        <v>0</v>
      </c>
      <c r="V335" s="139">
        <v>0</v>
      </c>
      <c r="W335" s="139">
        <v>0</v>
      </c>
      <c r="X335" s="139">
        <v>0</v>
      </c>
      <c r="Y335" s="139">
        <v>0</v>
      </c>
      <c r="Z335" s="139">
        <v>0</v>
      </c>
      <c r="AA335" s="139">
        <v>0</v>
      </c>
      <c r="AB335" s="139">
        <v>0</v>
      </c>
      <c r="AC335" s="139">
        <v>0</v>
      </c>
      <c r="AD335" s="139">
        <v>0</v>
      </c>
      <c r="AE335" s="139">
        <v>0</v>
      </c>
      <c r="AF335" s="139">
        <v>0</v>
      </c>
      <c r="AG335" s="139">
        <v>0</v>
      </c>
      <c r="AH335" s="139">
        <v>0</v>
      </c>
      <c r="AI335" s="139">
        <v>0</v>
      </c>
      <c r="AJ335" s="139">
        <v>0</v>
      </c>
      <c r="AK335" s="139">
        <v>0</v>
      </c>
      <c r="AL335" s="139">
        <v>0</v>
      </c>
      <c r="AM335" s="139">
        <v>0</v>
      </c>
      <c r="AN335" s="139">
        <v>0</v>
      </c>
      <c r="AO335" s="139">
        <v>24000</v>
      </c>
      <c r="AP335" s="139">
        <v>24000</v>
      </c>
      <c r="AQ335" s="139">
        <v>24000</v>
      </c>
      <c r="AR335" s="139">
        <v>24000</v>
      </c>
      <c r="AS335" s="139">
        <v>24000</v>
      </c>
      <c r="AT335" s="139">
        <v>24000</v>
      </c>
      <c r="AU335" s="139">
        <v>24000</v>
      </c>
      <c r="AV335" s="140"/>
    </row>
    <row r="336" spans="2:48" ht="15.75" customHeight="1" x14ac:dyDescent="0.2">
      <c r="B336" s="136" t="s">
        <v>317</v>
      </c>
      <c r="C336" s="137">
        <v>0</v>
      </c>
      <c r="D336" s="138">
        <v>0</v>
      </c>
      <c r="E336" s="139">
        <v>0</v>
      </c>
      <c r="F336" s="139">
        <v>0</v>
      </c>
      <c r="G336" s="139">
        <v>0</v>
      </c>
      <c r="H336" s="139">
        <v>0</v>
      </c>
      <c r="I336" s="139">
        <v>0</v>
      </c>
      <c r="J336" s="139">
        <v>0</v>
      </c>
      <c r="K336" s="139">
        <v>0</v>
      </c>
      <c r="L336" s="139">
        <v>0</v>
      </c>
      <c r="M336" s="139">
        <v>0</v>
      </c>
      <c r="N336" s="139">
        <v>0</v>
      </c>
      <c r="O336" s="139">
        <v>0</v>
      </c>
      <c r="P336" s="139">
        <v>0</v>
      </c>
      <c r="Q336" s="139">
        <v>0</v>
      </c>
      <c r="R336" s="139">
        <v>0</v>
      </c>
      <c r="S336" s="139">
        <v>0</v>
      </c>
      <c r="T336" s="139">
        <v>0</v>
      </c>
      <c r="U336" s="139">
        <v>0</v>
      </c>
      <c r="V336" s="139">
        <v>0</v>
      </c>
      <c r="W336" s="139">
        <v>0</v>
      </c>
      <c r="X336" s="139">
        <v>0</v>
      </c>
      <c r="Y336" s="139">
        <v>0</v>
      </c>
      <c r="Z336" s="139">
        <v>0</v>
      </c>
      <c r="AA336" s="139">
        <v>0</v>
      </c>
      <c r="AB336" s="139">
        <v>0</v>
      </c>
      <c r="AC336" s="139">
        <v>0</v>
      </c>
      <c r="AD336" s="139">
        <v>0</v>
      </c>
      <c r="AE336" s="139">
        <v>0</v>
      </c>
      <c r="AF336" s="139">
        <v>0</v>
      </c>
      <c r="AG336" s="139">
        <v>0</v>
      </c>
      <c r="AH336" s="139">
        <v>0</v>
      </c>
      <c r="AI336" s="139">
        <v>0</v>
      </c>
      <c r="AJ336" s="139">
        <v>0</v>
      </c>
      <c r="AK336" s="139">
        <v>0</v>
      </c>
      <c r="AL336" s="139">
        <v>0</v>
      </c>
      <c r="AM336" s="139">
        <v>0</v>
      </c>
      <c r="AN336" s="139">
        <v>0</v>
      </c>
      <c r="AO336" s="139">
        <v>17496</v>
      </c>
      <c r="AP336" s="139">
        <v>17496</v>
      </c>
      <c r="AQ336" s="139">
        <v>17496</v>
      </c>
      <c r="AR336" s="139">
        <v>17496</v>
      </c>
      <c r="AS336" s="139">
        <v>17496</v>
      </c>
      <c r="AT336" s="139">
        <v>17496</v>
      </c>
      <c r="AU336" s="139">
        <v>17496</v>
      </c>
      <c r="AV336" s="140"/>
    </row>
    <row r="337" spans="2:48" ht="15.75" customHeight="1" x14ac:dyDescent="0.2">
      <c r="B337" s="136" t="s">
        <v>318</v>
      </c>
      <c r="C337" s="137">
        <v>0</v>
      </c>
      <c r="D337" s="138">
        <v>0</v>
      </c>
      <c r="E337" s="139">
        <v>0</v>
      </c>
      <c r="F337" s="139">
        <v>0</v>
      </c>
      <c r="G337" s="139">
        <v>0</v>
      </c>
      <c r="H337" s="139">
        <v>0</v>
      </c>
      <c r="I337" s="139">
        <v>0</v>
      </c>
      <c r="J337" s="139">
        <v>0</v>
      </c>
      <c r="K337" s="139">
        <v>0</v>
      </c>
      <c r="L337" s="139">
        <v>0</v>
      </c>
      <c r="M337" s="139">
        <v>0</v>
      </c>
      <c r="N337" s="139">
        <v>0</v>
      </c>
      <c r="O337" s="139">
        <v>0</v>
      </c>
      <c r="P337" s="139">
        <v>0</v>
      </c>
      <c r="Q337" s="139">
        <v>0</v>
      </c>
      <c r="R337" s="139">
        <v>0</v>
      </c>
      <c r="S337" s="139">
        <v>0</v>
      </c>
      <c r="T337" s="139">
        <v>0</v>
      </c>
      <c r="U337" s="139">
        <v>0</v>
      </c>
      <c r="V337" s="139">
        <v>0</v>
      </c>
      <c r="W337" s="139">
        <v>0</v>
      </c>
      <c r="X337" s="139">
        <v>0</v>
      </c>
      <c r="Y337" s="139">
        <v>0</v>
      </c>
      <c r="Z337" s="139">
        <v>0</v>
      </c>
      <c r="AA337" s="139">
        <v>0</v>
      </c>
      <c r="AB337" s="139">
        <v>0</v>
      </c>
      <c r="AC337" s="139">
        <v>0</v>
      </c>
      <c r="AD337" s="139">
        <v>0</v>
      </c>
      <c r="AE337" s="139">
        <v>0</v>
      </c>
      <c r="AF337" s="139">
        <v>0</v>
      </c>
      <c r="AG337" s="139">
        <v>0</v>
      </c>
      <c r="AH337" s="139">
        <v>0</v>
      </c>
      <c r="AI337" s="139">
        <v>0</v>
      </c>
      <c r="AJ337" s="139">
        <v>0</v>
      </c>
      <c r="AK337" s="139">
        <v>0</v>
      </c>
      <c r="AL337" s="139">
        <v>0</v>
      </c>
      <c r="AM337" s="139">
        <v>0</v>
      </c>
      <c r="AN337" s="139">
        <v>0</v>
      </c>
      <c r="AO337" s="139">
        <v>9024</v>
      </c>
      <c r="AP337" s="139">
        <v>9024</v>
      </c>
      <c r="AQ337" s="139">
        <v>9024</v>
      </c>
      <c r="AR337" s="139">
        <v>9024</v>
      </c>
      <c r="AS337" s="139">
        <v>9024</v>
      </c>
      <c r="AT337" s="139">
        <v>9024</v>
      </c>
      <c r="AU337" s="139">
        <v>9024</v>
      </c>
      <c r="AV337" s="140"/>
    </row>
    <row r="338" spans="2:48" ht="15.75" customHeight="1" x14ac:dyDescent="0.2">
      <c r="B338" s="136" t="s">
        <v>319</v>
      </c>
      <c r="C338" s="137">
        <v>0</v>
      </c>
      <c r="D338" s="138">
        <v>0</v>
      </c>
      <c r="E338" s="139">
        <v>0</v>
      </c>
      <c r="F338" s="139">
        <v>0</v>
      </c>
      <c r="G338" s="139">
        <v>0</v>
      </c>
      <c r="H338" s="139">
        <v>0</v>
      </c>
      <c r="I338" s="139">
        <v>0</v>
      </c>
      <c r="J338" s="139">
        <v>0</v>
      </c>
      <c r="K338" s="139">
        <v>0</v>
      </c>
      <c r="L338" s="139">
        <v>0</v>
      </c>
      <c r="M338" s="139">
        <v>0</v>
      </c>
      <c r="N338" s="139">
        <v>0</v>
      </c>
      <c r="O338" s="139">
        <v>0</v>
      </c>
      <c r="P338" s="139">
        <v>0</v>
      </c>
      <c r="Q338" s="139">
        <v>0</v>
      </c>
      <c r="R338" s="139">
        <v>0</v>
      </c>
      <c r="S338" s="139">
        <v>0</v>
      </c>
      <c r="T338" s="139">
        <v>0</v>
      </c>
      <c r="U338" s="139">
        <v>0</v>
      </c>
      <c r="V338" s="139">
        <v>0</v>
      </c>
      <c r="W338" s="139">
        <v>0</v>
      </c>
      <c r="X338" s="139">
        <v>0</v>
      </c>
      <c r="Y338" s="139">
        <v>0</v>
      </c>
      <c r="Z338" s="139">
        <v>0</v>
      </c>
      <c r="AA338" s="139">
        <v>0</v>
      </c>
      <c r="AB338" s="139">
        <v>0</v>
      </c>
      <c r="AC338" s="139">
        <v>0</v>
      </c>
      <c r="AD338" s="139">
        <v>0</v>
      </c>
      <c r="AE338" s="139">
        <v>0</v>
      </c>
      <c r="AF338" s="139">
        <v>0</v>
      </c>
      <c r="AG338" s="139">
        <v>0</v>
      </c>
      <c r="AH338" s="139">
        <v>0</v>
      </c>
      <c r="AI338" s="139">
        <v>0</v>
      </c>
      <c r="AJ338" s="139">
        <v>0</v>
      </c>
      <c r="AK338" s="139">
        <v>0</v>
      </c>
      <c r="AL338" s="139">
        <v>0</v>
      </c>
      <c r="AM338" s="139">
        <v>0</v>
      </c>
      <c r="AN338" s="139">
        <v>0</v>
      </c>
      <c r="AO338" s="139">
        <v>14760</v>
      </c>
      <c r="AP338" s="139">
        <v>14760</v>
      </c>
      <c r="AQ338" s="139">
        <v>14760</v>
      </c>
      <c r="AR338" s="139">
        <v>14760</v>
      </c>
      <c r="AS338" s="139">
        <v>14760</v>
      </c>
      <c r="AT338" s="139">
        <v>14760</v>
      </c>
      <c r="AU338" s="139">
        <v>14760</v>
      </c>
      <c r="AV338" s="140"/>
    </row>
    <row r="339" spans="2:48" ht="15.75" customHeight="1" x14ac:dyDescent="0.2">
      <c r="B339" s="136" t="s">
        <v>320</v>
      </c>
      <c r="C339" s="137">
        <v>0</v>
      </c>
      <c r="D339" s="138">
        <v>0</v>
      </c>
      <c r="E339" s="139">
        <v>0</v>
      </c>
      <c r="F339" s="139">
        <v>0</v>
      </c>
      <c r="G339" s="139">
        <v>0</v>
      </c>
      <c r="H339" s="139">
        <v>0</v>
      </c>
      <c r="I339" s="139">
        <v>0</v>
      </c>
      <c r="J339" s="139">
        <v>0</v>
      </c>
      <c r="K339" s="139">
        <v>0</v>
      </c>
      <c r="L339" s="139">
        <v>0</v>
      </c>
      <c r="M339" s="139">
        <v>0</v>
      </c>
      <c r="N339" s="139">
        <v>0</v>
      </c>
      <c r="O339" s="139">
        <v>0</v>
      </c>
      <c r="P339" s="139">
        <v>0</v>
      </c>
      <c r="Q339" s="139">
        <v>0</v>
      </c>
      <c r="R339" s="139">
        <v>0</v>
      </c>
      <c r="S339" s="139">
        <v>0</v>
      </c>
      <c r="T339" s="139">
        <v>0</v>
      </c>
      <c r="U339" s="139">
        <v>0</v>
      </c>
      <c r="V339" s="139">
        <v>0</v>
      </c>
      <c r="W339" s="139">
        <v>0</v>
      </c>
      <c r="X339" s="139">
        <v>0</v>
      </c>
      <c r="Y339" s="139">
        <v>0</v>
      </c>
      <c r="Z339" s="139">
        <v>0</v>
      </c>
      <c r="AA339" s="139">
        <v>0</v>
      </c>
      <c r="AB339" s="139">
        <v>0</v>
      </c>
      <c r="AC339" s="139">
        <v>0</v>
      </c>
      <c r="AD339" s="139">
        <v>0</v>
      </c>
      <c r="AE339" s="139">
        <v>0</v>
      </c>
      <c r="AF339" s="139">
        <v>0</v>
      </c>
      <c r="AG339" s="139">
        <v>0</v>
      </c>
      <c r="AH339" s="139">
        <v>0</v>
      </c>
      <c r="AI339" s="139">
        <v>0</v>
      </c>
      <c r="AJ339" s="139">
        <v>0</v>
      </c>
      <c r="AK339" s="139">
        <v>0</v>
      </c>
      <c r="AL339" s="139">
        <v>0</v>
      </c>
      <c r="AM339" s="139">
        <v>0</v>
      </c>
      <c r="AN339" s="139">
        <v>0</v>
      </c>
      <c r="AO339" s="139">
        <v>9608</v>
      </c>
      <c r="AP339" s="139">
        <v>9608</v>
      </c>
      <c r="AQ339" s="139">
        <v>9608</v>
      </c>
      <c r="AR339" s="139">
        <v>9608</v>
      </c>
      <c r="AS339" s="139">
        <v>9608</v>
      </c>
      <c r="AT339" s="139">
        <v>9608</v>
      </c>
      <c r="AU339" s="139">
        <v>9608</v>
      </c>
      <c r="AV339" s="140"/>
    </row>
    <row r="340" spans="2:48" ht="15.75" customHeight="1" x14ac:dyDescent="0.2">
      <c r="B340" s="136" t="s">
        <v>321</v>
      </c>
      <c r="C340" s="137">
        <v>0</v>
      </c>
      <c r="D340" s="138">
        <v>0</v>
      </c>
      <c r="E340" s="139">
        <v>0</v>
      </c>
      <c r="F340" s="139">
        <v>0</v>
      </c>
      <c r="G340" s="139">
        <v>0</v>
      </c>
      <c r="H340" s="139">
        <v>0</v>
      </c>
      <c r="I340" s="139">
        <v>0</v>
      </c>
      <c r="J340" s="139">
        <v>0</v>
      </c>
      <c r="K340" s="139">
        <v>0</v>
      </c>
      <c r="L340" s="139">
        <v>0</v>
      </c>
      <c r="M340" s="139">
        <v>0</v>
      </c>
      <c r="N340" s="139">
        <v>0</v>
      </c>
      <c r="O340" s="139">
        <v>0</v>
      </c>
      <c r="P340" s="139">
        <v>0</v>
      </c>
      <c r="Q340" s="139">
        <v>0</v>
      </c>
      <c r="R340" s="139">
        <v>0</v>
      </c>
      <c r="S340" s="139">
        <v>0</v>
      </c>
      <c r="T340" s="139">
        <v>0</v>
      </c>
      <c r="U340" s="139">
        <v>0</v>
      </c>
      <c r="V340" s="139">
        <v>0</v>
      </c>
      <c r="W340" s="139">
        <v>0</v>
      </c>
      <c r="X340" s="139">
        <v>0</v>
      </c>
      <c r="Y340" s="139">
        <v>0</v>
      </c>
      <c r="Z340" s="139">
        <v>0</v>
      </c>
      <c r="AA340" s="139">
        <v>0</v>
      </c>
      <c r="AB340" s="139">
        <v>0</v>
      </c>
      <c r="AC340" s="139">
        <v>0</v>
      </c>
      <c r="AD340" s="139">
        <v>0</v>
      </c>
      <c r="AE340" s="139">
        <v>0</v>
      </c>
      <c r="AF340" s="139">
        <v>0</v>
      </c>
      <c r="AG340" s="139">
        <v>0</v>
      </c>
      <c r="AH340" s="139">
        <v>0</v>
      </c>
      <c r="AI340" s="139">
        <v>0</v>
      </c>
      <c r="AJ340" s="139">
        <v>0</v>
      </c>
      <c r="AK340" s="139">
        <v>0</v>
      </c>
      <c r="AL340" s="139">
        <v>0</v>
      </c>
      <c r="AM340" s="139">
        <v>0</v>
      </c>
      <c r="AN340" s="139">
        <v>0</v>
      </c>
      <c r="AO340" s="139">
        <v>9999</v>
      </c>
      <c r="AP340" s="139">
        <v>9999</v>
      </c>
      <c r="AQ340" s="139">
        <v>9999</v>
      </c>
      <c r="AR340" s="139">
        <v>9999</v>
      </c>
      <c r="AS340" s="139">
        <v>9999</v>
      </c>
      <c r="AT340" s="139">
        <v>9999</v>
      </c>
      <c r="AU340" s="139">
        <v>9999</v>
      </c>
      <c r="AV340" s="140"/>
    </row>
    <row r="341" spans="2:48" ht="15.75" customHeight="1" x14ac:dyDescent="0.2">
      <c r="B341" s="136" t="s">
        <v>322</v>
      </c>
      <c r="C341" s="137">
        <v>0</v>
      </c>
      <c r="D341" s="138">
        <v>0</v>
      </c>
      <c r="E341" s="139">
        <v>0</v>
      </c>
      <c r="F341" s="139">
        <v>0</v>
      </c>
      <c r="G341" s="139">
        <v>0</v>
      </c>
      <c r="H341" s="139">
        <v>0</v>
      </c>
      <c r="I341" s="139">
        <v>0</v>
      </c>
      <c r="J341" s="139">
        <v>0</v>
      </c>
      <c r="K341" s="139">
        <v>0</v>
      </c>
      <c r="L341" s="139">
        <v>0</v>
      </c>
      <c r="M341" s="139">
        <v>0</v>
      </c>
      <c r="N341" s="139">
        <v>0</v>
      </c>
      <c r="O341" s="139">
        <v>0</v>
      </c>
      <c r="P341" s="139">
        <v>0</v>
      </c>
      <c r="Q341" s="139">
        <v>0</v>
      </c>
      <c r="R341" s="139">
        <v>0</v>
      </c>
      <c r="S341" s="139">
        <v>0</v>
      </c>
      <c r="T341" s="139">
        <v>0</v>
      </c>
      <c r="U341" s="139">
        <v>0</v>
      </c>
      <c r="V341" s="139">
        <v>0</v>
      </c>
      <c r="W341" s="139">
        <v>0</v>
      </c>
      <c r="X341" s="139">
        <v>0</v>
      </c>
      <c r="Y341" s="139">
        <v>0</v>
      </c>
      <c r="Z341" s="139">
        <v>0</v>
      </c>
      <c r="AA341" s="139">
        <v>0</v>
      </c>
      <c r="AB341" s="139">
        <v>0</v>
      </c>
      <c r="AC341" s="139">
        <v>0</v>
      </c>
      <c r="AD341" s="139">
        <v>0</v>
      </c>
      <c r="AE341" s="139">
        <v>0</v>
      </c>
      <c r="AF341" s="139">
        <v>0</v>
      </c>
      <c r="AG341" s="139">
        <v>0</v>
      </c>
      <c r="AH341" s="139">
        <v>0</v>
      </c>
      <c r="AI341" s="139">
        <v>0</v>
      </c>
      <c r="AJ341" s="139">
        <v>0</v>
      </c>
      <c r="AK341" s="139">
        <v>0</v>
      </c>
      <c r="AL341" s="139">
        <v>0</v>
      </c>
      <c r="AM341" s="139">
        <v>0</v>
      </c>
      <c r="AN341" s="139">
        <v>0</v>
      </c>
      <c r="AO341" s="139">
        <v>9600</v>
      </c>
      <c r="AP341" s="139">
        <v>9600</v>
      </c>
      <c r="AQ341" s="139">
        <v>9600</v>
      </c>
      <c r="AR341" s="139">
        <v>9600</v>
      </c>
      <c r="AS341" s="139">
        <v>9600</v>
      </c>
      <c r="AT341" s="139">
        <v>9600</v>
      </c>
      <c r="AU341" s="139">
        <v>9600</v>
      </c>
      <c r="AV341" s="140"/>
    </row>
    <row r="342" spans="2:48" ht="15.75" customHeight="1" x14ac:dyDescent="0.2">
      <c r="B342" s="136" t="s">
        <v>323</v>
      </c>
      <c r="C342" s="137">
        <v>0</v>
      </c>
      <c r="D342" s="138">
        <v>0</v>
      </c>
      <c r="E342" s="139">
        <v>0</v>
      </c>
      <c r="F342" s="139">
        <v>0</v>
      </c>
      <c r="G342" s="139">
        <v>0</v>
      </c>
      <c r="H342" s="139">
        <v>0</v>
      </c>
      <c r="I342" s="139">
        <v>0</v>
      </c>
      <c r="J342" s="139">
        <v>0</v>
      </c>
      <c r="K342" s="139">
        <v>0</v>
      </c>
      <c r="L342" s="139">
        <v>0</v>
      </c>
      <c r="M342" s="139">
        <v>0</v>
      </c>
      <c r="N342" s="139">
        <v>0</v>
      </c>
      <c r="O342" s="139">
        <v>0</v>
      </c>
      <c r="P342" s="139">
        <v>0</v>
      </c>
      <c r="Q342" s="139">
        <v>0</v>
      </c>
      <c r="R342" s="139">
        <v>0</v>
      </c>
      <c r="S342" s="139">
        <v>0</v>
      </c>
      <c r="T342" s="139">
        <v>0</v>
      </c>
      <c r="U342" s="139">
        <v>0</v>
      </c>
      <c r="V342" s="139">
        <v>0</v>
      </c>
      <c r="W342" s="139">
        <v>0</v>
      </c>
      <c r="X342" s="139">
        <v>0</v>
      </c>
      <c r="Y342" s="139">
        <v>0</v>
      </c>
      <c r="Z342" s="139">
        <v>0</v>
      </c>
      <c r="AA342" s="139">
        <v>0</v>
      </c>
      <c r="AB342" s="139">
        <v>0</v>
      </c>
      <c r="AC342" s="139">
        <v>0</v>
      </c>
      <c r="AD342" s="139">
        <v>0</v>
      </c>
      <c r="AE342" s="139">
        <v>0</v>
      </c>
      <c r="AF342" s="139">
        <v>0</v>
      </c>
      <c r="AG342" s="139">
        <v>0</v>
      </c>
      <c r="AH342" s="139">
        <v>0</v>
      </c>
      <c r="AI342" s="139">
        <v>0</v>
      </c>
      <c r="AJ342" s="139">
        <v>0</v>
      </c>
      <c r="AK342" s="139">
        <v>0</v>
      </c>
      <c r="AL342" s="139">
        <v>0</v>
      </c>
      <c r="AM342" s="139">
        <v>0</v>
      </c>
      <c r="AN342" s="139">
        <v>0</v>
      </c>
      <c r="AO342" s="139">
        <v>16680</v>
      </c>
      <c r="AP342" s="139">
        <v>16680</v>
      </c>
      <c r="AQ342" s="139">
        <v>16680</v>
      </c>
      <c r="AR342" s="139">
        <v>16680</v>
      </c>
      <c r="AS342" s="139">
        <v>16680</v>
      </c>
      <c r="AT342" s="139">
        <v>16680</v>
      </c>
      <c r="AU342" s="139">
        <v>16680</v>
      </c>
      <c r="AV342" s="140"/>
    </row>
    <row r="343" spans="2:48" ht="15.75" customHeight="1" x14ac:dyDescent="0.2">
      <c r="B343" s="136" t="s">
        <v>324</v>
      </c>
      <c r="C343" s="137">
        <v>0</v>
      </c>
      <c r="D343" s="138">
        <v>0</v>
      </c>
      <c r="E343" s="139">
        <v>0</v>
      </c>
      <c r="F343" s="139">
        <v>0</v>
      </c>
      <c r="G343" s="139">
        <v>0</v>
      </c>
      <c r="H343" s="139">
        <v>0</v>
      </c>
      <c r="I343" s="139">
        <v>0</v>
      </c>
      <c r="J343" s="139">
        <v>0</v>
      </c>
      <c r="K343" s="139">
        <v>0</v>
      </c>
      <c r="L343" s="139">
        <v>0</v>
      </c>
      <c r="M343" s="139">
        <v>0</v>
      </c>
      <c r="N343" s="139">
        <v>0</v>
      </c>
      <c r="O343" s="139">
        <v>0</v>
      </c>
      <c r="P343" s="139">
        <v>0</v>
      </c>
      <c r="Q343" s="139">
        <v>0</v>
      </c>
      <c r="R343" s="139">
        <v>0</v>
      </c>
      <c r="S343" s="139">
        <v>0</v>
      </c>
      <c r="T343" s="139">
        <v>0</v>
      </c>
      <c r="U343" s="139">
        <v>0</v>
      </c>
      <c r="V343" s="139">
        <v>0</v>
      </c>
      <c r="W343" s="139">
        <v>0</v>
      </c>
      <c r="X343" s="139">
        <v>0</v>
      </c>
      <c r="Y343" s="139">
        <v>0</v>
      </c>
      <c r="Z343" s="139">
        <v>0</v>
      </c>
      <c r="AA343" s="139">
        <v>0</v>
      </c>
      <c r="AB343" s="139">
        <v>0</v>
      </c>
      <c r="AC343" s="139">
        <v>0</v>
      </c>
      <c r="AD343" s="139">
        <v>0</v>
      </c>
      <c r="AE343" s="139">
        <v>0</v>
      </c>
      <c r="AF343" s="139">
        <v>0</v>
      </c>
      <c r="AG343" s="139">
        <v>0</v>
      </c>
      <c r="AH343" s="139">
        <v>0</v>
      </c>
      <c r="AI343" s="139">
        <v>0</v>
      </c>
      <c r="AJ343" s="139">
        <v>0</v>
      </c>
      <c r="AK343" s="139">
        <v>0</v>
      </c>
      <c r="AL343" s="139">
        <v>0</v>
      </c>
      <c r="AM343" s="139">
        <v>0</v>
      </c>
      <c r="AN343" s="139">
        <v>0</v>
      </c>
      <c r="AO343" s="139">
        <v>12000</v>
      </c>
      <c r="AP343" s="139">
        <v>12000</v>
      </c>
      <c r="AQ343" s="139">
        <v>12000</v>
      </c>
      <c r="AR343" s="139">
        <v>12000</v>
      </c>
      <c r="AS343" s="139">
        <v>12000</v>
      </c>
      <c r="AT343" s="139">
        <v>12000</v>
      </c>
      <c r="AU343" s="139">
        <v>12000</v>
      </c>
      <c r="AV343" s="140"/>
    </row>
    <row r="344" spans="2:48" ht="15.75" customHeight="1" x14ac:dyDescent="0.2">
      <c r="B344" s="136" t="s">
        <v>325</v>
      </c>
      <c r="C344" s="137">
        <v>0</v>
      </c>
      <c r="D344" s="138">
        <v>0</v>
      </c>
      <c r="E344" s="139">
        <v>0</v>
      </c>
      <c r="F344" s="139">
        <v>0</v>
      </c>
      <c r="G344" s="139">
        <v>0</v>
      </c>
      <c r="H344" s="139">
        <v>0</v>
      </c>
      <c r="I344" s="139">
        <v>0</v>
      </c>
      <c r="J344" s="139">
        <v>0</v>
      </c>
      <c r="K344" s="139">
        <v>0</v>
      </c>
      <c r="L344" s="139">
        <v>0</v>
      </c>
      <c r="M344" s="139">
        <v>0</v>
      </c>
      <c r="N344" s="139">
        <v>0</v>
      </c>
      <c r="O344" s="139">
        <v>0</v>
      </c>
      <c r="P344" s="139">
        <v>0</v>
      </c>
      <c r="Q344" s="139">
        <v>0</v>
      </c>
      <c r="R344" s="139">
        <v>0</v>
      </c>
      <c r="S344" s="139">
        <v>0</v>
      </c>
      <c r="T344" s="139">
        <v>0</v>
      </c>
      <c r="U344" s="139">
        <v>0</v>
      </c>
      <c r="V344" s="139">
        <v>0</v>
      </c>
      <c r="W344" s="139">
        <v>0</v>
      </c>
      <c r="X344" s="139">
        <v>0</v>
      </c>
      <c r="Y344" s="139">
        <v>0</v>
      </c>
      <c r="Z344" s="139">
        <v>0</v>
      </c>
      <c r="AA344" s="139">
        <v>0</v>
      </c>
      <c r="AB344" s="139">
        <v>0</v>
      </c>
      <c r="AC344" s="139">
        <v>0</v>
      </c>
      <c r="AD344" s="139">
        <v>0</v>
      </c>
      <c r="AE344" s="139">
        <v>0</v>
      </c>
      <c r="AF344" s="139">
        <v>0</v>
      </c>
      <c r="AG344" s="139">
        <v>0</v>
      </c>
      <c r="AH344" s="139">
        <v>0</v>
      </c>
      <c r="AI344" s="139">
        <v>0</v>
      </c>
      <c r="AJ344" s="139">
        <v>0</v>
      </c>
      <c r="AK344" s="139">
        <v>0</v>
      </c>
      <c r="AL344" s="139">
        <v>0</v>
      </c>
      <c r="AM344" s="139">
        <v>0</v>
      </c>
      <c r="AN344" s="139">
        <v>0</v>
      </c>
      <c r="AO344" s="139">
        <v>9600</v>
      </c>
      <c r="AP344" s="139">
        <v>9600</v>
      </c>
      <c r="AQ344" s="139">
        <v>9600</v>
      </c>
      <c r="AR344" s="139">
        <v>9600</v>
      </c>
      <c r="AS344" s="139">
        <v>9600</v>
      </c>
      <c r="AT344" s="139">
        <v>9600</v>
      </c>
      <c r="AU344" s="139">
        <v>9600</v>
      </c>
      <c r="AV344" s="140"/>
    </row>
    <row r="345" spans="2:48" ht="15.75" customHeight="1" x14ac:dyDescent="0.2">
      <c r="B345" s="136" t="s">
        <v>326</v>
      </c>
      <c r="C345" s="137">
        <v>0</v>
      </c>
      <c r="D345" s="138">
        <v>0</v>
      </c>
      <c r="E345" s="139">
        <v>0</v>
      </c>
      <c r="F345" s="139">
        <v>0</v>
      </c>
      <c r="G345" s="139">
        <v>0</v>
      </c>
      <c r="H345" s="139">
        <v>0</v>
      </c>
      <c r="I345" s="139">
        <v>0</v>
      </c>
      <c r="J345" s="139">
        <v>0</v>
      </c>
      <c r="K345" s="139">
        <v>0</v>
      </c>
      <c r="L345" s="139">
        <v>0</v>
      </c>
      <c r="M345" s="139">
        <v>0</v>
      </c>
      <c r="N345" s="139">
        <v>0</v>
      </c>
      <c r="O345" s="139">
        <v>0</v>
      </c>
      <c r="P345" s="139">
        <v>0</v>
      </c>
      <c r="Q345" s="139">
        <v>0</v>
      </c>
      <c r="R345" s="139">
        <v>0</v>
      </c>
      <c r="S345" s="139">
        <v>0</v>
      </c>
      <c r="T345" s="139">
        <v>0</v>
      </c>
      <c r="U345" s="139">
        <v>0</v>
      </c>
      <c r="V345" s="139">
        <v>0</v>
      </c>
      <c r="W345" s="139">
        <v>0</v>
      </c>
      <c r="X345" s="139">
        <v>0</v>
      </c>
      <c r="Y345" s="139">
        <v>0</v>
      </c>
      <c r="Z345" s="139">
        <v>0</v>
      </c>
      <c r="AA345" s="139">
        <v>0</v>
      </c>
      <c r="AB345" s="139">
        <v>0</v>
      </c>
      <c r="AC345" s="139">
        <v>0</v>
      </c>
      <c r="AD345" s="139">
        <v>0</v>
      </c>
      <c r="AE345" s="139">
        <v>0</v>
      </c>
      <c r="AF345" s="139">
        <v>0</v>
      </c>
      <c r="AG345" s="139">
        <v>0</v>
      </c>
      <c r="AH345" s="139">
        <v>0</v>
      </c>
      <c r="AI345" s="139">
        <v>0</v>
      </c>
      <c r="AJ345" s="139">
        <v>0</v>
      </c>
      <c r="AK345" s="139">
        <v>0</v>
      </c>
      <c r="AL345" s="139">
        <v>0</v>
      </c>
      <c r="AM345" s="139">
        <v>0</v>
      </c>
      <c r="AN345" s="139">
        <v>0</v>
      </c>
      <c r="AO345" s="139">
        <v>14400</v>
      </c>
      <c r="AP345" s="139">
        <v>14400</v>
      </c>
      <c r="AQ345" s="139">
        <v>14400</v>
      </c>
      <c r="AR345" s="139">
        <v>14400</v>
      </c>
      <c r="AS345" s="139">
        <v>14400</v>
      </c>
      <c r="AT345" s="139">
        <v>14400</v>
      </c>
      <c r="AU345" s="139">
        <v>14400</v>
      </c>
      <c r="AV345" s="140"/>
    </row>
    <row r="346" spans="2:48" ht="15.75" customHeight="1" x14ac:dyDescent="0.2">
      <c r="B346" s="136" t="s">
        <v>327</v>
      </c>
      <c r="C346" s="137">
        <v>0</v>
      </c>
      <c r="D346" s="138">
        <v>0</v>
      </c>
      <c r="E346" s="139">
        <v>0</v>
      </c>
      <c r="F346" s="139">
        <v>0</v>
      </c>
      <c r="G346" s="139">
        <v>0</v>
      </c>
      <c r="H346" s="139">
        <v>0</v>
      </c>
      <c r="I346" s="139">
        <v>0</v>
      </c>
      <c r="J346" s="139">
        <v>0</v>
      </c>
      <c r="K346" s="139">
        <v>0</v>
      </c>
      <c r="L346" s="139">
        <v>0</v>
      </c>
      <c r="M346" s="139">
        <v>0</v>
      </c>
      <c r="N346" s="139">
        <v>0</v>
      </c>
      <c r="O346" s="139">
        <v>0</v>
      </c>
      <c r="P346" s="139">
        <v>0</v>
      </c>
      <c r="Q346" s="139">
        <v>0</v>
      </c>
      <c r="R346" s="139">
        <v>0</v>
      </c>
      <c r="S346" s="139">
        <v>0</v>
      </c>
      <c r="T346" s="139">
        <v>0</v>
      </c>
      <c r="U346" s="139">
        <v>0</v>
      </c>
      <c r="V346" s="139">
        <v>0</v>
      </c>
      <c r="W346" s="139">
        <v>0</v>
      </c>
      <c r="X346" s="139">
        <v>0</v>
      </c>
      <c r="Y346" s="139">
        <v>0</v>
      </c>
      <c r="Z346" s="139">
        <v>0</v>
      </c>
      <c r="AA346" s="139">
        <v>0</v>
      </c>
      <c r="AB346" s="139">
        <v>0</v>
      </c>
      <c r="AC346" s="139">
        <v>0</v>
      </c>
      <c r="AD346" s="139">
        <v>0</v>
      </c>
      <c r="AE346" s="139">
        <v>0</v>
      </c>
      <c r="AF346" s="139">
        <v>0</v>
      </c>
      <c r="AG346" s="139">
        <v>0</v>
      </c>
      <c r="AH346" s="139">
        <v>0</v>
      </c>
      <c r="AI346" s="139">
        <v>0</v>
      </c>
      <c r="AJ346" s="139">
        <v>0</v>
      </c>
      <c r="AK346" s="139">
        <v>0</v>
      </c>
      <c r="AL346" s="139">
        <v>0</v>
      </c>
      <c r="AM346" s="139">
        <v>0</v>
      </c>
      <c r="AN346" s="139">
        <v>0</v>
      </c>
      <c r="AO346" s="139">
        <v>10800</v>
      </c>
      <c r="AP346" s="139">
        <v>10800</v>
      </c>
      <c r="AQ346" s="139">
        <v>10800</v>
      </c>
      <c r="AR346" s="139">
        <v>10800</v>
      </c>
      <c r="AS346" s="139">
        <v>10800</v>
      </c>
      <c r="AT346" s="139">
        <v>10800</v>
      </c>
      <c r="AU346" s="139">
        <v>10800</v>
      </c>
      <c r="AV346" s="140"/>
    </row>
    <row r="347" spans="2:48" ht="15.75" customHeight="1" x14ac:dyDescent="0.2">
      <c r="B347" s="136" t="s">
        <v>328</v>
      </c>
      <c r="C347" s="137">
        <v>0</v>
      </c>
      <c r="D347" s="138">
        <v>0</v>
      </c>
      <c r="E347" s="139">
        <v>0</v>
      </c>
      <c r="F347" s="139">
        <v>0</v>
      </c>
      <c r="G347" s="139">
        <v>0</v>
      </c>
      <c r="H347" s="139">
        <v>0</v>
      </c>
      <c r="I347" s="139">
        <v>0</v>
      </c>
      <c r="J347" s="139">
        <v>0</v>
      </c>
      <c r="K347" s="139">
        <v>0</v>
      </c>
      <c r="L347" s="139">
        <v>0</v>
      </c>
      <c r="M347" s="139">
        <v>0</v>
      </c>
      <c r="N347" s="139">
        <v>0</v>
      </c>
      <c r="O347" s="139">
        <v>0</v>
      </c>
      <c r="P347" s="139">
        <v>0</v>
      </c>
      <c r="Q347" s="139">
        <v>0</v>
      </c>
      <c r="R347" s="139">
        <v>0</v>
      </c>
      <c r="S347" s="139">
        <v>0</v>
      </c>
      <c r="T347" s="139">
        <v>0</v>
      </c>
      <c r="U347" s="139">
        <v>0</v>
      </c>
      <c r="V347" s="139">
        <v>0</v>
      </c>
      <c r="W347" s="139">
        <v>0</v>
      </c>
      <c r="X347" s="139">
        <v>0</v>
      </c>
      <c r="Y347" s="139">
        <v>0</v>
      </c>
      <c r="Z347" s="139">
        <v>0</v>
      </c>
      <c r="AA347" s="139">
        <v>0</v>
      </c>
      <c r="AB347" s="139">
        <v>0</v>
      </c>
      <c r="AC347" s="139">
        <v>0</v>
      </c>
      <c r="AD347" s="139">
        <v>0</v>
      </c>
      <c r="AE347" s="139">
        <v>0</v>
      </c>
      <c r="AF347" s="139">
        <v>0</v>
      </c>
      <c r="AG347" s="139">
        <v>0</v>
      </c>
      <c r="AH347" s="139">
        <v>0</v>
      </c>
      <c r="AI347" s="139">
        <v>0</v>
      </c>
      <c r="AJ347" s="139">
        <v>0</v>
      </c>
      <c r="AK347" s="139">
        <v>0</v>
      </c>
      <c r="AL347" s="139">
        <v>0</v>
      </c>
      <c r="AM347" s="139">
        <v>0</v>
      </c>
      <c r="AN347" s="139">
        <v>0</v>
      </c>
      <c r="AO347" s="139">
        <v>38976</v>
      </c>
      <c r="AP347" s="139">
        <v>38976</v>
      </c>
      <c r="AQ347" s="139">
        <v>38976</v>
      </c>
      <c r="AR347" s="139">
        <v>38976</v>
      </c>
      <c r="AS347" s="139">
        <v>38976</v>
      </c>
      <c r="AT347" s="139">
        <v>38976</v>
      </c>
      <c r="AU347" s="139">
        <v>38976</v>
      </c>
      <c r="AV347" s="140"/>
    </row>
    <row r="348" spans="2:48" ht="15.75" customHeight="1" x14ac:dyDescent="0.2">
      <c r="B348" s="136" t="s">
        <v>329</v>
      </c>
      <c r="C348" s="137">
        <v>0</v>
      </c>
      <c r="D348" s="138">
        <v>0</v>
      </c>
      <c r="E348" s="139">
        <v>0</v>
      </c>
      <c r="F348" s="139">
        <v>0</v>
      </c>
      <c r="G348" s="139">
        <v>0</v>
      </c>
      <c r="H348" s="139">
        <v>0</v>
      </c>
      <c r="I348" s="139">
        <v>0</v>
      </c>
      <c r="J348" s="139">
        <v>0</v>
      </c>
      <c r="K348" s="139">
        <v>0</v>
      </c>
      <c r="L348" s="139">
        <v>0</v>
      </c>
      <c r="M348" s="139">
        <v>0</v>
      </c>
      <c r="N348" s="139">
        <v>0</v>
      </c>
      <c r="O348" s="139">
        <v>0</v>
      </c>
      <c r="P348" s="139">
        <v>0</v>
      </c>
      <c r="Q348" s="139">
        <v>0</v>
      </c>
      <c r="R348" s="139">
        <v>0</v>
      </c>
      <c r="S348" s="139">
        <v>0</v>
      </c>
      <c r="T348" s="139">
        <v>0</v>
      </c>
      <c r="U348" s="139">
        <v>0</v>
      </c>
      <c r="V348" s="139">
        <v>0</v>
      </c>
      <c r="W348" s="139">
        <v>0</v>
      </c>
      <c r="X348" s="139">
        <v>0</v>
      </c>
      <c r="Y348" s="139">
        <v>0</v>
      </c>
      <c r="Z348" s="139">
        <v>0</v>
      </c>
      <c r="AA348" s="139">
        <v>0</v>
      </c>
      <c r="AB348" s="139">
        <v>0</v>
      </c>
      <c r="AC348" s="139">
        <v>0</v>
      </c>
      <c r="AD348" s="139">
        <v>0</v>
      </c>
      <c r="AE348" s="139">
        <v>0</v>
      </c>
      <c r="AF348" s="139">
        <v>0</v>
      </c>
      <c r="AG348" s="139">
        <v>0</v>
      </c>
      <c r="AH348" s="139">
        <v>0</v>
      </c>
      <c r="AI348" s="139">
        <v>0</v>
      </c>
      <c r="AJ348" s="139">
        <v>0</v>
      </c>
      <c r="AK348" s="139">
        <v>0</v>
      </c>
      <c r="AL348" s="139">
        <v>0</v>
      </c>
      <c r="AM348" s="139">
        <v>0</v>
      </c>
      <c r="AN348" s="139">
        <v>0</v>
      </c>
      <c r="AO348" s="139">
        <v>9600</v>
      </c>
      <c r="AP348" s="139">
        <v>9600</v>
      </c>
      <c r="AQ348" s="139">
        <v>9600</v>
      </c>
      <c r="AR348" s="139">
        <v>9600</v>
      </c>
      <c r="AS348" s="139">
        <v>9600</v>
      </c>
      <c r="AT348" s="139">
        <v>9600</v>
      </c>
      <c r="AU348" s="139">
        <v>9600</v>
      </c>
      <c r="AV348" s="140"/>
    </row>
    <row r="349" spans="2:48" ht="15.75" customHeight="1" x14ac:dyDescent="0.2">
      <c r="B349" s="136" t="s">
        <v>330</v>
      </c>
      <c r="C349" s="137">
        <v>0</v>
      </c>
      <c r="D349" s="138">
        <v>0</v>
      </c>
      <c r="E349" s="139">
        <v>0</v>
      </c>
      <c r="F349" s="139">
        <v>0</v>
      </c>
      <c r="G349" s="139">
        <v>0</v>
      </c>
      <c r="H349" s="139">
        <v>0</v>
      </c>
      <c r="I349" s="139">
        <v>0</v>
      </c>
      <c r="J349" s="139">
        <v>0</v>
      </c>
      <c r="K349" s="139">
        <v>0</v>
      </c>
      <c r="L349" s="139">
        <v>0</v>
      </c>
      <c r="M349" s="139">
        <v>0</v>
      </c>
      <c r="N349" s="139">
        <v>0</v>
      </c>
      <c r="O349" s="139">
        <v>0</v>
      </c>
      <c r="P349" s="139">
        <v>0</v>
      </c>
      <c r="Q349" s="139">
        <v>0</v>
      </c>
      <c r="R349" s="139">
        <v>0</v>
      </c>
      <c r="S349" s="139">
        <v>0</v>
      </c>
      <c r="T349" s="139">
        <v>0</v>
      </c>
      <c r="U349" s="139">
        <v>0</v>
      </c>
      <c r="V349" s="139">
        <v>0</v>
      </c>
      <c r="W349" s="139">
        <v>0</v>
      </c>
      <c r="X349" s="139">
        <v>0</v>
      </c>
      <c r="Y349" s="139">
        <v>0</v>
      </c>
      <c r="Z349" s="139">
        <v>0</v>
      </c>
      <c r="AA349" s="139">
        <v>0</v>
      </c>
      <c r="AB349" s="139">
        <v>0</v>
      </c>
      <c r="AC349" s="139">
        <v>0</v>
      </c>
      <c r="AD349" s="139">
        <v>0</v>
      </c>
      <c r="AE349" s="139">
        <v>0</v>
      </c>
      <c r="AF349" s="139">
        <v>0</v>
      </c>
      <c r="AG349" s="139">
        <v>0</v>
      </c>
      <c r="AH349" s="139">
        <v>0</v>
      </c>
      <c r="AI349" s="139">
        <v>0</v>
      </c>
      <c r="AJ349" s="139">
        <v>0</v>
      </c>
      <c r="AK349" s="139">
        <v>0</v>
      </c>
      <c r="AL349" s="139">
        <v>0</v>
      </c>
      <c r="AM349" s="139">
        <v>0</v>
      </c>
      <c r="AN349" s="139">
        <v>0</v>
      </c>
      <c r="AO349" s="139">
        <v>0</v>
      </c>
      <c r="AP349" s="139">
        <v>27300</v>
      </c>
      <c r="AQ349" s="139">
        <v>27300</v>
      </c>
      <c r="AR349" s="139">
        <v>27300</v>
      </c>
      <c r="AS349" s="139">
        <v>27300</v>
      </c>
      <c r="AT349" s="139">
        <v>27300</v>
      </c>
      <c r="AU349" s="139">
        <v>27300</v>
      </c>
      <c r="AV349" s="140"/>
    </row>
    <row r="350" spans="2:48" ht="15.75" customHeight="1" x14ac:dyDescent="0.2">
      <c r="B350" s="136" t="s">
        <v>331</v>
      </c>
      <c r="C350" s="137">
        <v>0</v>
      </c>
      <c r="D350" s="138">
        <v>0</v>
      </c>
      <c r="E350" s="139">
        <v>0</v>
      </c>
      <c r="F350" s="139">
        <v>0</v>
      </c>
      <c r="G350" s="139">
        <v>0</v>
      </c>
      <c r="H350" s="139">
        <v>0</v>
      </c>
      <c r="I350" s="139">
        <v>0</v>
      </c>
      <c r="J350" s="139">
        <v>0</v>
      </c>
      <c r="K350" s="139">
        <v>0</v>
      </c>
      <c r="L350" s="139">
        <v>0</v>
      </c>
      <c r="M350" s="139">
        <v>0</v>
      </c>
      <c r="N350" s="139">
        <v>0</v>
      </c>
      <c r="O350" s="139">
        <v>0</v>
      </c>
      <c r="P350" s="139">
        <v>0</v>
      </c>
      <c r="Q350" s="139">
        <v>0</v>
      </c>
      <c r="R350" s="139">
        <v>0</v>
      </c>
      <c r="S350" s="139">
        <v>0</v>
      </c>
      <c r="T350" s="139">
        <v>0</v>
      </c>
      <c r="U350" s="139">
        <v>0</v>
      </c>
      <c r="V350" s="139">
        <v>0</v>
      </c>
      <c r="W350" s="139">
        <v>0</v>
      </c>
      <c r="X350" s="139">
        <v>0</v>
      </c>
      <c r="Y350" s="139">
        <v>0</v>
      </c>
      <c r="Z350" s="139">
        <v>0</v>
      </c>
      <c r="AA350" s="139">
        <v>0</v>
      </c>
      <c r="AB350" s="139">
        <v>0</v>
      </c>
      <c r="AC350" s="139">
        <v>0</v>
      </c>
      <c r="AD350" s="139">
        <v>0</v>
      </c>
      <c r="AE350" s="139">
        <v>0</v>
      </c>
      <c r="AF350" s="139">
        <v>0</v>
      </c>
      <c r="AG350" s="139">
        <v>0</v>
      </c>
      <c r="AH350" s="139">
        <v>0</v>
      </c>
      <c r="AI350" s="139">
        <v>0</v>
      </c>
      <c r="AJ350" s="139">
        <v>0</v>
      </c>
      <c r="AK350" s="139">
        <v>0</v>
      </c>
      <c r="AL350" s="139">
        <v>0</v>
      </c>
      <c r="AM350" s="139">
        <v>0</v>
      </c>
      <c r="AN350" s="139">
        <v>0</v>
      </c>
      <c r="AO350" s="139">
        <v>0</v>
      </c>
      <c r="AP350" s="139">
        <v>13680</v>
      </c>
      <c r="AQ350" s="139">
        <v>13680</v>
      </c>
      <c r="AR350" s="139">
        <v>13680</v>
      </c>
      <c r="AS350" s="139">
        <v>13680</v>
      </c>
      <c r="AT350" s="139">
        <v>13680</v>
      </c>
      <c r="AU350" s="139">
        <v>13680</v>
      </c>
      <c r="AV350" s="140"/>
    </row>
    <row r="351" spans="2:48" ht="15.75" customHeight="1" x14ac:dyDescent="0.2">
      <c r="B351" s="136" t="s">
        <v>332</v>
      </c>
      <c r="C351" s="137">
        <v>0</v>
      </c>
      <c r="D351" s="138">
        <v>0</v>
      </c>
      <c r="E351" s="139">
        <v>0</v>
      </c>
      <c r="F351" s="139">
        <v>0</v>
      </c>
      <c r="G351" s="139">
        <v>0</v>
      </c>
      <c r="H351" s="139">
        <v>0</v>
      </c>
      <c r="I351" s="139">
        <v>0</v>
      </c>
      <c r="J351" s="139">
        <v>0</v>
      </c>
      <c r="K351" s="139">
        <v>0</v>
      </c>
      <c r="L351" s="139">
        <v>0</v>
      </c>
      <c r="M351" s="139">
        <v>0</v>
      </c>
      <c r="N351" s="139">
        <v>0</v>
      </c>
      <c r="O351" s="139">
        <v>0</v>
      </c>
      <c r="P351" s="139">
        <v>0</v>
      </c>
      <c r="Q351" s="139">
        <v>0</v>
      </c>
      <c r="R351" s="139">
        <v>0</v>
      </c>
      <c r="S351" s="139">
        <v>0</v>
      </c>
      <c r="T351" s="139">
        <v>0</v>
      </c>
      <c r="U351" s="139">
        <v>0</v>
      </c>
      <c r="V351" s="139">
        <v>0</v>
      </c>
      <c r="W351" s="139">
        <v>0</v>
      </c>
      <c r="X351" s="139">
        <v>0</v>
      </c>
      <c r="Y351" s="139">
        <v>0</v>
      </c>
      <c r="Z351" s="139">
        <v>0</v>
      </c>
      <c r="AA351" s="139">
        <v>0</v>
      </c>
      <c r="AB351" s="139">
        <v>0</v>
      </c>
      <c r="AC351" s="139">
        <v>0</v>
      </c>
      <c r="AD351" s="139">
        <v>0</v>
      </c>
      <c r="AE351" s="139">
        <v>0</v>
      </c>
      <c r="AF351" s="139">
        <v>0</v>
      </c>
      <c r="AG351" s="139">
        <v>0</v>
      </c>
      <c r="AH351" s="139">
        <v>0</v>
      </c>
      <c r="AI351" s="139">
        <v>0</v>
      </c>
      <c r="AJ351" s="139">
        <v>0</v>
      </c>
      <c r="AK351" s="139">
        <v>0</v>
      </c>
      <c r="AL351" s="139">
        <v>0</v>
      </c>
      <c r="AM351" s="139">
        <v>0</v>
      </c>
      <c r="AN351" s="139">
        <v>0</v>
      </c>
      <c r="AO351" s="139">
        <v>0</v>
      </c>
      <c r="AP351" s="139">
        <v>81600</v>
      </c>
      <c r="AQ351" s="139">
        <v>81600</v>
      </c>
      <c r="AR351" s="139">
        <v>81600</v>
      </c>
      <c r="AS351" s="139">
        <v>81600</v>
      </c>
      <c r="AT351" s="139">
        <v>81600</v>
      </c>
      <c r="AU351" s="139">
        <v>81600</v>
      </c>
      <c r="AV351" s="140"/>
    </row>
    <row r="352" spans="2:48" ht="15.75" customHeight="1" x14ac:dyDescent="0.2">
      <c r="B352" s="136" t="s">
        <v>333</v>
      </c>
      <c r="C352" s="137">
        <v>0</v>
      </c>
      <c r="D352" s="138">
        <v>0</v>
      </c>
      <c r="E352" s="139">
        <v>0</v>
      </c>
      <c r="F352" s="139">
        <v>0</v>
      </c>
      <c r="G352" s="139">
        <v>0</v>
      </c>
      <c r="H352" s="139">
        <v>0</v>
      </c>
      <c r="I352" s="139">
        <v>0</v>
      </c>
      <c r="J352" s="139">
        <v>0</v>
      </c>
      <c r="K352" s="139">
        <v>0</v>
      </c>
      <c r="L352" s="139">
        <v>0</v>
      </c>
      <c r="M352" s="139">
        <v>0</v>
      </c>
      <c r="N352" s="139">
        <v>0</v>
      </c>
      <c r="O352" s="139">
        <v>0</v>
      </c>
      <c r="P352" s="139">
        <v>0</v>
      </c>
      <c r="Q352" s="139">
        <v>0</v>
      </c>
      <c r="R352" s="139">
        <v>0</v>
      </c>
      <c r="S352" s="139">
        <v>0</v>
      </c>
      <c r="T352" s="139">
        <v>0</v>
      </c>
      <c r="U352" s="139">
        <v>0</v>
      </c>
      <c r="V352" s="139">
        <v>0</v>
      </c>
      <c r="W352" s="139">
        <v>0</v>
      </c>
      <c r="X352" s="139">
        <v>0</v>
      </c>
      <c r="Y352" s="139">
        <v>0</v>
      </c>
      <c r="Z352" s="139">
        <v>0</v>
      </c>
      <c r="AA352" s="139">
        <v>0</v>
      </c>
      <c r="AB352" s="139">
        <v>0</v>
      </c>
      <c r="AC352" s="139">
        <v>0</v>
      </c>
      <c r="AD352" s="139">
        <v>0</v>
      </c>
      <c r="AE352" s="139">
        <v>0</v>
      </c>
      <c r="AF352" s="139">
        <v>0</v>
      </c>
      <c r="AG352" s="139">
        <v>0</v>
      </c>
      <c r="AH352" s="139">
        <v>0</v>
      </c>
      <c r="AI352" s="139">
        <v>0</v>
      </c>
      <c r="AJ352" s="139">
        <v>0</v>
      </c>
      <c r="AK352" s="139">
        <v>0</v>
      </c>
      <c r="AL352" s="139">
        <v>0</v>
      </c>
      <c r="AM352" s="139">
        <v>0</v>
      </c>
      <c r="AN352" s="139">
        <v>0</v>
      </c>
      <c r="AO352" s="139">
        <v>0</v>
      </c>
      <c r="AP352" s="139">
        <v>9600</v>
      </c>
      <c r="AQ352" s="139">
        <v>9600</v>
      </c>
      <c r="AR352" s="139">
        <v>9600</v>
      </c>
      <c r="AS352" s="139">
        <v>9600</v>
      </c>
      <c r="AT352" s="139">
        <v>9600</v>
      </c>
      <c r="AU352" s="139">
        <v>9600</v>
      </c>
      <c r="AV352" s="140"/>
    </row>
    <row r="353" spans="2:48" ht="15.75" customHeight="1" x14ac:dyDescent="0.2">
      <c r="B353" s="136" t="s">
        <v>334</v>
      </c>
      <c r="C353" s="137">
        <v>0</v>
      </c>
      <c r="D353" s="138">
        <v>0</v>
      </c>
      <c r="E353" s="139">
        <v>0</v>
      </c>
      <c r="F353" s="139">
        <v>0</v>
      </c>
      <c r="G353" s="139">
        <v>0</v>
      </c>
      <c r="H353" s="139">
        <v>0</v>
      </c>
      <c r="I353" s="139">
        <v>0</v>
      </c>
      <c r="J353" s="139">
        <v>0</v>
      </c>
      <c r="K353" s="139">
        <v>0</v>
      </c>
      <c r="L353" s="139">
        <v>0</v>
      </c>
      <c r="M353" s="139">
        <v>0</v>
      </c>
      <c r="N353" s="139">
        <v>0</v>
      </c>
      <c r="O353" s="139">
        <v>0</v>
      </c>
      <c r="P353" s="139">
        <v>0</v>
      </c>
      <c r="Q353" s="139">
        <v>0</v>
      </c>
      <c r="R353" s="139">
        <v>0</v>
      </c>
      <c r="S353" s="139">
        <v>0</v>
      </c>
      <c r="T353" s="139">
        <v>0</v>
      </c>
      <c r="U353" s="139">
        <v>0</v>
      </c>
      <c r="V353" s="139">
        <v>0</v>
      </c>
      <c r="W353" s="139">
        <v>0</v>
      </c>
      <c r="X353" s="139">
        <v>0</v>
      </c>
      <c r="Y353" s="139">
        <v>0</v>
      </c>
      <c r="Z353" s="139">
        <v>0</v>
      </c>
      <c r="AA353" s="139">
        <v>0</v>
      </c>
      <c r="AB353" s="139">
        <v>0</v>
      </c>
      <c r="AC353" s="139">
        <v>0</v>
      </c>
      <c r="AD353" s="139">
        <v>0</v>
      </c>
      <c r="AE353" s="139">
        <v>0</v>
      </c>
      <c r="AF353" s="139">
        <v>0</v>
      </c>
      <c r="AG353" s="139">
        <v>0</v>
      </c>
      <c r="AH353" s="139">
        <v>0</v>
      </c>
      <c r="AI353" s="139">
        <v>0</v>
      </c>
      <c r="AJ353" s="139">
        <v>0</v>
      </c>
      <c r="AK353" s="139">
        <v>0</v>
      </c>
      <c r="AL353" s="139">
        <v>0</v>
      </c>
      <c r="AM353" s="139">
        <v>0</v>
      </c>
      <c r="AN353" s="139">
        <v>0</v>
      </c>
      <c r="AO353" s="139">
        <v>0</v>
      </c>
      <c r="AP353" s="139">
        <v>30150</v>
      </c>
      <c r="AQ353" s="139">
        <v>30150</v>
      </c>
      <c r="AR353" s="139">
        <v>30150</v>
      </c>
      <c r="AS353" s="139">
        <v>30150</v>
      </c>
      <c r="AT353" s="139">
        <v>30150</v>
      </c>
      <c r="AU353" s="139">
        <v>30150</v>
      </c>
      <c r="AV353" s="140"/>
    </row>
    <row r="354" spans="2:48" ht="15.75" customHeight="1" x14ac:dyDescent="0.2">
      <c r="B354" s="136" t="s">
        <v>335</v>
      </c>
      <c r="C354" s="137">
        <v>0</v>
      </c>
      <c r="D354" s="138">
        <v>0</v>
      </c>
      <c r="E354" s="139">
        <v>0</v>
      </c>
      <c r="F354" s="139">
        <v>0</v>
      </c>
      <c r="G354" s="139">
        <v>0</v>
      </c>
      <c r="H354" s="139">
        <v>0</v>
      </c>
      <c r="I354" s="139">
        <v>0</v>
      </c>
      <c r="J354" s="139">
        <v>0</v>
      </c>
      <c r="K354" s="139">
        <v>0</v>
      </c>
      <c r="L354" s="139">
        <v>0</v>
      </c>
      <c r="M354" s="139">
        <v>0</v>
      </c>
      <c r="N354" s="139">
        <v>0</v>
      </c>
      <c r="O354" s="139">
        <v>0</v>
      </c>
      <c r="P354" s="139">
        <v>0</v>
      </c>
      <c r="Q354" s="139">
        <v>0</v>
      </c>
      <c r="R354" s="139">
        <v>0</v>
      </c>
      <c r="S354" s="139">
        <v>0</v>
      </c>
      <c r="T354" s="139">
        <v>0</v>
      </c>
      <c r="U354" s="139">
        <v>0</v>
      </c>
      <c r="V354" s="139">
        <v>0</v>
      </c>
      <c r="W354" s="139">
        <v>0</v>
      </c>
      <c r="X354" s="139">
        <v>0</v>
      </c>
      <c r="Y354" s="139">
        <v>0</v>
      </c>
      <c r="Z354" s="139">
        <v>0</v>
      </c>
      <c r="AA354" s="139">
        <v>0</v>
      </c>
      <c r="AB354" s="139">
        <v>0</v>
      </c>
      <c r="AC354" s="139">
        <v>0</v>
      </c>
      <c r="AD354" s="139">
        <v>0</v>
      </c>
      <c r="AE354" s="139">
        <v>0</v>
      </c>
      <c r="AF354" s="139">
        <v>0</v>
      </c>
      <c r="AG354" s="139">
        <v>0</v>
      </c>
      <c r="AH354" s="139">
        <v>0</v>
      </c>
      <c r="AI354" s="139">
        <v>0</v>
      </c>
      <c r="AJ354" s="139">
        <v>0</v>
      </c>
      <c r="AK354" s="139">
        <v>0</v>
      </c>
      <c r="AL354" s="139">
        <v>0</v>
      </c>
      <c r="AM354" s="139">
        <v>0</v>
      </c>
      <c r="AN354" s="139">
        <v>0</v>
      </c>
      <c r="AO354" s="139">
        <v>0</v>
      </c>
      <c r="AP354" s="139">
        <v>9600</v>
      </c>
      <c r="AQ354" s="139">
        <v>9600</v>
      </c>
      <c r="AR354" s="139">
        <v>9600</v>
      </c>
      <c r="AS354" s="139">
        <v>9600</v>
      </c>
      <c r="AT354" s="139">
        <v>9600</v>
      </c>
      <c r="AU354" s="139">
        <v>9600</v>
      </c>
      <c r="AV354" s="140"/>
    </row>
    <row r="355" spans="2:48" ht="15.75" customHeight="1" x14ac:dyDescent="0.2">
      <c r="B355" s="136" t="s">
        <v>336</v>
      </c>
      <c r="C355" s="137">
        <v>0</v>
      </c>
      <c r="D355" s="138">
        <v>0</v>
      </c>
      <c r="E355" s="139">
        <v>0</v>
      </c>
      <c r="F355" s="139">
        <v>0</v>
      </c>
      <c r="G355" s="139">
        <v>0</v>
      </c>
      <c r="H355" s="139">
        <v>0</v>
      </c>
      <c r="I355" s="139">
        <v>0</v>
      </c>
      <c r="J355" s="139">
        <v>0</v>
      </c>
      <c r="K355" s="139">
        <v>0</v>
      </c>
      <c r="L355" s="139">
        <v>0</v>
      </c>
      <c r="M355" s="139">
        <v>0</v>
      </c>
      <c r="N355" s="139">
        <v>0</v>
      </c>
      <c r="O355" s="139">
        <v>0</v>
      </c>
      <c r="P355" s="139">
        <v>0</v>
      </c>
      <c r="Q355" s="139">
        <v>0</v>
      </c>
      <c r="R355" s="139">
        <v>0</v>
      </c>
      <c r="S355" s="139">
        <v>0</v>
      </c>
      <c r="T355" s="139">
        <v>0</v>
      </c>
      <c r="U355" s="139">
        <v>0</v>
      </c>
      <c r="V355" s="139">
        <v>0</v>
      </c>
      <c r="W355" s="139">
        <v>0</v>
      </c>
      <c r="X355" s="139">
        <v>0</v>
      </c>
      <c r="Y355" s="139">
        <v>0</v>
      </c>
      <c r="Z355" s="139">
        <v>0</v>
      </c>
      <c r="AA355" s="139">
        <v>0</v>
      </c>
      <c r="AB355" s="139">
        <v>0</v>
      </c>
      <c r="AC355" s="139">
        <v>0</v>
      </c>
      <c r="AD355" s="139">
        <v>0</v>
      </c>
      <c r="AE355" s="139">
        <v>0</v>
      </c>
      <c r="AF355" s="139">
        <v>0</v>
      </c>
      <c r="AG355" s="139">
        <v>0</v>
      </c>
      <c r="AH355" s="139">
        <v>0</v>
      </c>
      <c r="AI355" s="139">
        <v>0</v>
      </c>
      <c r="AJ355" s="139">
        <v>0</v>
      </c>
      <c r="AK355" s="139">
        <v>0</v>
      </c>
      <c r="AL355" s="139">
        <v>0</v>
      </c>
      <c r="AM355" s="139">
        <v>0</v>
      </c>
      <c r="AN355" s="139">
        <v>0</v>
      </c>
      <c r="AO355" s="139">
        <v>0</v>
      </c>
      <c r="AP355" s="139">
        <v>13740</v>
      </c>
      <c r="AQ355" s="139">
        <v>13740</v>
      </c>
      <c r="AR355" s="139">
        <v>13740</v>
      </c>
      <c r="AS355" s="139">
        <v>13740</v>
      </c>
      <c r="AT355" s="139">
        <v>13740</v>
      </c>
      <c r="AU355" s="139">
        <v>13740</v>
      </c>
      <c r="AV355" s="140"/>
    </row>
    <row r="356" spans="2:48" ht="15.75" customHeight="1" x14ac:dyDescent="0.2">
      <c r="B356" s="136" t="s">
        <v>337</v>
      </c>
      <c r="C356" s="137">
        <v>0</v>
      </c>
      <c r="D356" s="138">
        <v>0</v>
      </c>
      <c r="E356" s="139">
        <v>0</v>
      </c>
      <c r="F356" s="139">
        <v>0</v>
      </c>
      <c r="G356" s="139">
        <v>0</v>
      </c>
      <c r="H356" s="139">
        <v>0</v>
      </c>
      <c r="I356" s="139">
        <v>0</v>
      </c>
      <c r="J356" s="139">
        <v>0</v>
      </c>
      <c r="K356" s="139">
        <v>0</v>
      </c>
      <c r="L356" s="139">
        <v>0</v>
      </c>
      <c r="M356" s="139">
        <v>0</v>
      </c>
      <c r="N356" s="139">
        <v>0</v>
      </c>
      <c r="O356" s="139">
        <v>0</v>
      </c>
      <c r="P356" s="139">
        <v>0</v>
      </c>
      <c r="Q356" s="139">
        <v>0</v>
      </c>
      <c r="R356" s="139">
        <v>0</v>
      </c>
      <c r="S356" s="139">
        <v>0</v>
      </c>
      <c r="T356" s="139">
        <v>0</v>
      </c>
      <c r="U356" s="139">
        <v>0</v>
      </c>
      <c r="V356" s="139">
        <v>0</v>
      </c>
      <c r="W356" s="139">
        <v>0</v>
      </c>
      <c r="X356" s="139">
        <v>0</v>
      </c>
      <c r="Y356" s="139">
        <v>0</v>
      </c>
      <c r="Z356" s="139">
        <v>0</v>
      </c>
      <c r="AA356" s="139">
        <v>0</v>
      </c>
      <c r="AB356" s="139">
        <v>0</v>
      </c>
      <c r="AC356" s="139">
        <v>0</v>
      </c>
      <c r="AD356" s="139">
        <v>0</v>
      </c>
      <c r="AE356" s="139">
        <v>0</v>
      </c>
      <c r="AF356" s="139">
        <v>0</v>
      </c>
      <c r="AG356" s="139">
        <v>0</v>
      </c>
      <c r="AH356" s="139">
        <v>0</v>
      </c>
      <c r="AI356" s="139">
        <v>0</v>
      </c>
      <c r="AJ356" s="139">
        <v>0</v>
      </c>
      <c r="AK356" s="139">
        <v>0</v>
      </c>
      <c r="AL356" s="139">
        <v>0</v>
      </c>
      <c r="AM356" s="139">
        <v>0</v>
      </c>
      <c r="AN356" s="139">
        <v>0</v>
      </c>
      <c r="AO356" s="139">
        <v>0</v>
      </c>
      <c r="AP356" s="139">
        <v>46800</v>
      </c>
      <c r="AQ356" s="139">
        <v>46800</v>
      </c>
      <c r="AR356" s="139">
        <v>46800</v>
      </c>
      <c r="AS356" s="139">
        <v>46800</v>
      </c>
      <c r="AT356" s="139">
        <v>46800</v>
      </c>
      <c r="AU356" s="139">
        <v>46800</v>
      </c>
      <c r="AV356" s="140"/>
    </row>
    <row r="357" spans="2:48" ht="15.75" customHeight="1" x14ac:dyDescent="0.2">
      <c r="B357" s="136" t="s">
        <v>338</v>
      </c>
      <c r="C357" s="137">
        <v>0</v>
      </c>
      <c r="D357" s="138">
        <v>0</v>
      </c>
      <c r="E357" s="139">
        <v>0</v>
      </c>
      <c r="F357" s="139">
        <v>0</v>
      </c>
      <c r="G357" s="139">
        <v>0</v>
      </c>
      <c r="H357" s="139">
        <v>0</v>
      </c>
      <c r="I357" s="139">
        <v>0</v>
      </c>
      <c r="J357" s="139">
        <v>0</v>
      </c>
      <c r="K357" s="139">
        <v>0</v>
      </c>
      <c r="L357" s="139">
        <v>0</v>
      </c>
      <c r="M357" s="139">
        <v>0</v>
      </c>
      <c r="N357" s="139">
        <v>0</v>
      </c>
      <c r="O357" s="139">
        <v>0</v>
      </c>
      <c r="P357" s="139">
        <v>0</v>
      </c>
      <c r="Q357" s="139">
        <v>0</v>
      </c>
      <c r="R357" s="139">
        <v>0</v>
      </c>
      <c r="S357" s="139">
        <v>0</v>
      </c>
      <c r="T357" s="139">
        <v>0</v>
      </c>
      <c r="U357" s="139">
        <v>0</v>
      </c>
      <c r="V357" s="139">
        <v>0</v>
      </c>
      <c r="W357" s="139">
        <v>0</v>
      </c>
      <c r="X357" s="139">
        <v>0</v>
      </c>
      <c r="Y357" s="139">
        <v>0</v>
      </c>
      <c r="Z357" s="139">
        <v>0</v>
      </c>
      <c r="AA357" s="139">
        <v>0</v>
      </c>
      <c r="AB357" s="139">
        <v>0</v>
      </c>
      <c r="AC357" s="139">
        <v>0</v>
      </c>
      <c r="AD357" s="139">
        <v>0</v>
      </c>
      <c r="AE357" s="139">
        <v>0</v>
      </c>
      <c r="AF357" s="139">
        <v>0</v>
      </c>
      <c r="AG357" s="139">
        <v>0</v>
      </c>
      <c r="AH357" s="139">
        <v>0</v>
      </c>
      <c r="AI357" s="139">
        <v>0</v>
      </c>
      <c r="AJ357" s="139">
        <v>0</v>
      </c>
      <c r="AK357" s="139">
        <v>0</v>
      </c>
      <c r="AL357" s="139">
        <v>0</v>
      </c>
      <c r="AM357" s="139">
        <v>0</v>
      </c>
      <c r="AN357" s="139">
        <v>0</v>
      </c>
      <c r="AO357" s="139">
        <v>0</v>
      </c>
      <c r="AP357" s="139">
        <v>35640</v>
      </c>
      <c r="AQ357" s="139">
        <v>35640</v>
      </c>
      <c r="AR357" s="139">
        <v>35640</v>
      </c>
      <c r="AS357" s="139">
        <v>35640</v>
      </c>
      <c r="AT357" s="139">
        <v>35640</v>
      </c>
      <c r="AU357" s="139">
        <v>35640</v>
      </c>
      <c r="AV357" s="140"/>
    </row>
    <row r="358" spans="2:48" ht="15.75" customHeight="1" x14ac:dyDescent="0.2">
      <c r="B358" s="136" t="s">
        <v>339</v>
      </c>
      <c r="C358" s="137">
        <v>0</v>
      </c>
      <c r="D358" s="138">
        <v>0</v>
      </c>
      <c r="E358" s="139">
        <v>0</v>
      </c>
      <c r="F358" s="139">
        <v>0</v>
      </c>
      <c r="G358" s="139">
        <v>0</v>
      </c>
      <c r="H358" s="139">
        <v>0</v>
      </c>
      <c r="I358" s="139">
        <v>0</v>
      </c>
      <c r="J358" s="139">
        <v>0</v>
      </c>
      <c r="K358" s="139">
        <v>0</v>
      </c>
      <c r="L358" s="139">
        <v>0</v>
      </c>
      <c r="M358" s="139">
        <v>0</v>
      </c>
      <c r="N358" s="139">
        <v>0</v>
      </c>
      <c r="O358" s="139">
        <v>0</v>
      </c>
      <c r="P358" s="139">
        <v>0</v>
      </c>
      <c r="Q358" s="139">
        <v>0</v>
      </c>
      <c r="R358" s="139">
        <v>0</v>
      </c>
      <c r="S358" s="139">
        <v>0</v>
      </c>
      <c r="T358" s="139">
        <v>0</v>
      </c>
      <c r="U358" s="139">
        <v>0</v>
      </c>
      <c r="V358" s="139">
        <v>0</v>
      </c>
      <c r="W358" s="139">
        <v>0</v>
      </c>
      <c r="X358" s="139">
        <v>0</v>
      </c>
      <c r="Y358" s="139">
        <v>0</v>
      </c>
      <c r="Z358" s="139">
        <v>0</v>
      </c>
      <c r="AA358" s="139">
        <v>0</v>
      </c>
      <c r="AB358" s="139">
        <v>0</v>
      </c>
      <c r="AC358" s="139">
        <v>0</v>
      </c>
      <c r="AD358" s="139">
        <v>0</v>
      </c>
      <c r="AE358" s="139">
        <v>0</v>
      </c>
      <c r="AF358" s="139">
        <v>0</v>
      </c>
      <c r="AG358" s="139">
        <v>0</v>
      </c>
      <c r="AH358" s="139">
        <v>0</v>
      </c>
      <c r="AI358" s="139">
        <v>0</v>
      </c>
      <c r="AJ358" s="139">
        <v>0</v>
      </c>
      <c r="AK358" s="139">
        <v>0</v>
      </c>
      <c r="AL358" s="139">
        <v>0</v>
      </c>
      <c r="AM358" s="139">
        <v>0</v>
      </c>
      <c r="AN358" s="139">
        <v>0</v>
      </c>
      <c r="AO358" s="139">
        <v>0</v>
      </c>
      <c r="AP358" s="139">
        <v>8000</v>
      </c>
      <c r="AQ358" s="139">
        <v>8000</v>
      </c>
      <c r="AR358" s="139">
        <v>8000</v>
      </c>
      <c r="AS358" s="139">
        <v>8000</v>
      </c>
      <c r="AT358" s="139">
        <v>8000</v>
      </c>
      <c r="AU358" s="139">
        <v>8000</v>
      </c>
      <c r="AV358" s="140"/>
    </row>
    <row r="359" spans="2:48" ht="15.75" customHeight="1" x14ac:dyDescent="0.2">
      <c r="B359" s="136" t="s">
        <v>340</v>
      </c>
      <c r="C359" s="137">
        <v>0</v>
      </c>
      <c r="D359" s="138">
        <v>0</v>
      </c>
      <c r="E359" s="139">
        <v>0</v>
      </c>
      <c r="F359" s="139">
        <v>0</v>
      </c>
      <c r="G359" s="139">
        <v>0</v>
      </c>
      <c r="H359" s="139">
        <v>0</v>
      </c>
      <c r="I359" s="139">
        <v>0</v>
      </c>
      <c r="J359" s="139">
        <v>0</v>
      </c>
      <c r="K359" s="139">
        <v>0</v>
      </c>
      <c r="L359" s="139">
        <v>0</v>
      </c>
      <c r="M359" s="139">
        <v>0</v>
      </c>
      <c r="N359" s="139">
        <v>0</v>
      </c>
      <c r="O359" s="139">
        <v>0</v>
      </c>
      <c r="P359" s="139">
        <v>0</v>
      </c>
      <c r="Q359" s="139">
        <v>0</v>
      </c>
      <c r="R359" s="139">
        <v>0</v>
      </c>
      <c r="S359" s="139">
        <v>0</v>
      </c>
      <c r="T359" s="139">
        <v>0</v>
      </c>
      <c r="U359" s="139">
        <v>0</v>
      </c>
      <c r="V359" s="139">
        <v>0</v>
      </c>
      <c r="W359" s="139">
        <v>0</v>
      </c>
      <c r="X359" s="139">
        <v>0</v>
      </c>
      <c r="Y359" s="139">
        <v>0</v>
      </c>
      <c r="Z359" s="139">
        <v>0</v>
      </c>
      <c r="AA359" s="139">
        <v>0</v>
      </c>
      <c r="AB359" s="139">
        <v>0</v>
      </c>
      <c r="AC359" s="139">
        <v>0</v>
      </c>
      <c r="AD359" s="139">
        <v>0</v>
      </c>
      <c r="AE359" s="139">
        <v>0</v>
      </c>
      <c r="AF359" s="139">
        <v>0</v>
      </c>
      <c r="AG359" s="139">
        <v>0</v>
      </c>
      <c r="AH359" s="139">
        <v>0</v>
      </c>
      <c r="AI359" s="139">
        <v>0</v>
      </c>
      <c r="AJ359" s="139">
        <v>0</v>
      </c>
      <c r="AK359" s="139">
        <v>0</v>
      </c>
      <c r="AL359" s="139">
        <v>0</v>
      </c>
      <c r="AM359" s="139">
        <v>0</v>
      </c>
      <c r="AN359" s="139">
        <v>0</v>
      </c>
      <c r="AO359" s="139">
        <v>0</v>
      </c>
      <c r="AP359" s="139">
        <v>14700</v>
      </c>
      <c r="AQ359" s="139">
        <v>14700</v>
      </c>
      <c r="AR359" s="139">
        <v>14700</v>
      </c>
      <c r="AS359" s="139">
        <v>14700</v>
      </c>
      <c r="AT359" s="139">
        <v>14700</v>
      </c>
      <c r="AU359" s="139">
        <v>14700</v>
      </c>
      <c r="AV359" s="140"/>
    </row>
    <row r="360" spans="2:48" ht="15.75" customHeight="1" x14ac:dyDescent="0.2">
      <c r="B360" s="136" t="s">
        <v>341</v>
      </c>
      <c r="C360" s="137">
        <v>0</v>
      </c>
      <c r="D360" s="138">
        <v>0</v>
      </c>
      <c r="E360" s="139">
        <v>0</v>
      </c>
      <c r="F360" s="139">
        <v>0</v>
      </c>
      <c r="G360" s="139">
        <v>0</v>
      </c>
      <c r="H360" s="139">
        <v>0</v>
      </c>
      <c r="I360" s="139">
        <v>0</v>
      </c>
      <c r="J360" s="139">
        <v>0</v>
      </c>
      <c r="K360" s="139">
        <v>0</v>
      </c>
      <c r="L360" s="139">
        <v>0</v>
      </c>
      <c r="M360" s="139">
        <v>0</v>
      </c>
      <c r="N360" s="139">
        <v>0</v>
      </c>
      <c r="O360" s="139">
        <v>0</v>
      </c>
      <c r="P360" s="139">
        <v>0</v>
      </c>
      <c r="Q360" s="139">
        <v>0</v>
      </c>
      <c r="R360" s="139">
        <v>0</v>
      </c>
      <c r="S360" s="139">
        <v>0</v>
      </c>
      <c r="T360" s="139">
        <v>0</v>
      </c>
      <c r="U360" s="139">
        <v>0</v>
      </c>
      <c r="V360" s="139">
        <v>0</v>
      </c>
      <c r="W360" s="139">
        <v>0</v>
      </c>
      <c r="X360" s="139">
        <v>0</v>
      </c>
      <c r="Y360" s="139">
        <v>0</v>
      </c>
      <c r="Z360" s="139">
        <v>0</v>
      </c>
      <c r="AA360" s="139">
        <v>0</v>
      </c>
      <c r="AB360" s="139">
        <v>0</v>
      </c>
      <c r="AC360" s="139">
        <v>0</v>
      </c>
      <c r="AD360" s="139">
        <v>0</v>
      </c>
      <c r="AE360" s="139">
        <v>0</v>
      </c>
      <c r="AF360" s="139">
        <v>0</v>
      </c>
      <c r="AG360" s="139">
        <v>0</v>
      </c>
      <c r="AH360" s="139">
        <v>0</v>
      </c>
      <c r="AI360" s="139">
        <v>0</v>
      </c>
      <c r="AJ360" s="139">
        <v>0</v>
      </c>
      <c r="AK360" s="139">
        <v>0</v>
      </c>
      <c r="AL360" s="139">
        <v>0</v>
      </c>
      <c r="AM360" s="139">
        <v>0</v>
      </c>
      <c r="AN360" s="139">
        <v>0</v>
      </c>
      <c r="AO360" s="139">
        <v>0</v>
      </c>
      <c r="AP360" s="139">
        <v>9600</v>
      </c>
      <c r="AQ360" s="139">
        <v>9600</v>
      </c>
      <c r="AR360" s="139">
        <v>9600</v>
      </c>
      <c r="AS360" s="139">
        <v>9600</v>
      </c>
      <c r="AT360" s="139">
        <v>9600</v>
      </c>
      <c r="AU360" s="139">
        <v>9600</v>
      </c>
      <c r="AV360" s="140"/>
    </row>
    <row r="361" spans="2:48" ht="15.75" customHeight="1" x14ac:dyDescent="0.2">
      <c r="B361" s="136" t="s">
        <v>342</v>
      </c>
      <c r="C361" s="137">
        <v>0</v>
      </c>
      <c r="D361" s="138">
        <v>0</v>
      </c>
      <c r="E361" s="139">
        <v>0</v>
      </c>
      <c r="F361" s="139">
        <v>0</v>
      </c>
      <c r="G361" s="139">
        <v>0</v>
      </c>
      <c r="H361" s="139">
        <v>0</v>
      </c>
      <c r="I361" s="139">
        <v>0</v>
      </c>
      <c r="J361" s="139">
        <v>0</v>
      </c>
      <c r="K361" s="139">
        <v>0</v>
      </c>
      <c r="L361" s="139">
        <v>0</v>
      </c>
      <c r="M361" s="139">
        <v>0</v>
      </c>
      <c r="N361" s="139">
        <v>0</v>
      </c>
      <c r="O361" s="139">
        <v>0</v>
      </c>
      <c r="P361" s="139">
        <v>0</v>
      </c>
      <c r="Q361" s="139">
        <v>0</v>
      </c>
      <c r="R361" s="139">
        <v>0</v>
      </c>
      <c r="S361" s="139">
        <v>0</v>
      </c>
      <c r="T361" s="139">
        <v>0</v>
      </c>
      <c r="U361" s="139">
        <v>0</v>
      </c>
      <c r="V361" s="139">
        <v>0</v>
      </c>
      <c r="W361" s="139">
        <v>0</v>
      </c>
      <c r="X361" s="139">
        <v>0</v>
      </c>
      <c r="Y361" s="139">
        <v>0</v>
      </c>
      <c r="Z361" s="139">
        <v>0</v>
      </c>
      <c r="AA361" s="139">
        <v>0</v>
      </c>
      <c r="AB361" s="139">
        <v>0</v>
      </c>
      <c r="AC361" s="139">
        <v>0</v>
      </c>
      <c r="AD361" s="139">
        <v>0</v>
      </c>
      <c r="AE361" s="139">
        <v>0</v>
      </c>
      <c r="AF361" s="139">
        <v>0</v>
      </c>
      <c r="AG361" s="139">
        <v>0</v>
      </c>
      <c r="AH361" s="139">
        <v>0</v>
      </c>
      <c r="AI361" s="139">
        <v>0</v>
      </c>
      <c r="AJ361" s="139">
        <v>0</v>
      </c>
      <c r="AK361" s="139">
        <v>0</v>
      </c>
      <c r="AL361" s="139">
        <v>0</v>
      </c>
      <c r="AM361" s="139">
        <v>0</v>
      </c>
      <c r="AN361" s="139">
        <v>0</v>
      </c>
      <c r="AO361" s="139">
        <v>0</v>
      </c>
      <c r="AP361" s="139">
        <v>21000</v>
      </c>
      <c r="AQ361" s="139">
        <v>21000</v>
      </c>
      <c r="AR361" s="139">
        <v>21000</v>
      </c>
      <c r="AS361" s="139">
        <v>21000</v>
      </c>
      <c r="AT361" s="139">
        <v>21000</v>
      </c>
      <c r="AU361" s="139">
        <v>21000</v>
      </c>
      <c r="AV361" s="140"/>
    </row>
    <row r="362" spans="2:48" ht="15.75" customHeight="1" x14ac:dyDescent="0.2">
      <c r="B362" s="136" t="s">
        <v>343</v>
      </c>
      <c r="C362" s="137">
        <v>0</v>
      </c>
      <c r="D362" s="138">
        <v>0</v>
      </c>
      <c r="E362" s="139">
        <v>0</v>
      </c>
      <c r="F362" s="139">
        <v>0</v>
      </c>
      <c r="G362" s="139">
        <v>0</v>
      </c>
      <c r="H362" s="139">
        <v>0</v>
      </c>
      <c r="I362" s="139">
        <v>0</v>
      </c>
      <c r="J362" s="139">
        <v>0</v>
      </c>
      <c r="K362" s="139">
        <v>0</v>
      </c>
      <c r="L362" s="139">
        <v>0</v>
      </c>
      <c r="M362" s="139">
        <v>0</v>
      </c>
      <c r="N362" s="139">
        <v>0</v>
      </c>
      <c r="O362" s="139">
        <v>0</v>
      </c>
      <c r="P362" s="139">
        <v>0</v>
      </c>
      <c r="Q362" s="139">
        <v>0</v>
      </c>
      <c r="R362" s="139">
        <v>0</v>
      </c>
      <c r="S362" s="139">
        <v>0</v>
      </c>
      <c r="T362" s="139">
        <v>0</v>
      </c>
      <c r="U362" s="139">
        <v>0</v>
      </c>
      <c r="V362" s="139">
        <v>0</v>
      </c>
      <c r="W362" s="139">
        <v>0</v>
      </c>
      <c r="X362" s="139">
        <v>0</v>
      </c>
      <c r="Y362" s="139">
        <v>0</v>
      </c>
      <c r="Z362" s="139">
        <v>0</v>
      </c>
      <c r="AA362" s="139">
        <v>0</v>
      </c>
      <c r="AB362" s="139">
        <v>0</v>
      </c>
      <c r="AC362" s="139">
        <v>0</v>
      </c>
      <c r="AD362" s="139">
        <v>0</v>
      </c>
      <c r="AE362" s="139">
        <v>0</v>
      </c>
      <c r="AF362" s="139">
        <v>0</v>
      </c>
      <c r="AG362" s="139">
        <v>0</v>
      </c>
      <c r="AH362" s="139">
        <v>0</v>
      </c>
      <c r="AI362" s="139">
        <v>0</v>
      </c>
      <c r="AJ362" s="139">
        <v>0</v>
      </c>
      <c r="AK362" s="139">
        <v>0</v>
      </c>
      <c r="AL362" s="139">
        <v>0</v>
      </c>
      <c r="AM362" s="139">
        <v>0</v>
      </c>
      <c r="AN362" s="139">
        <v>0</v>
      </c>
      <c r="AO362" s="139">
        <v>0</v>
      </c>
      <c r="AP362" s="139">
        <v>21200</v>
      </c>
      <c r="AQ362" s="139">
        <v>21200</v>
      </c>
      <c r="AR362" s="139">
        <v>21200</v>
      </c>
      <c r="AS362" s="139">
        <v>21200</v>
      </c>
      <c r="AT362" s="139">
        <v>21200</v>
      </c>
      <c r="AU362" s="139">
        <v>21200</v>
      </c>
      <c r="AV362" s="140"/>
    </row>
    <row r="363" spans="2:48" ht="15.75" customHeight="1" x14ac:dyDescent="0.2">
      <c r="B363" s="136" t="s">
        <v>344</v>
      </c>
      <c r="C363" s="137">
        <v>0</v>
      </c>
      <c r="D363" s="138">
        <v>0</v>
      </c>
      <c r="E363" s="139">
        <v>0</v>
      </c>
      <c r="F363" s="139">
        <v>0</v>
      </c>
      <c r="G363" s="139">
        <v>0</v>
      </c>
      <c r="H363" s="139">
        <v>0</v>
      </c>
      <c r="I363" s="139">
        <v>0</v>
      </c>
      <c r="J363" s="139">
        <v>0</v>
      </c>
      <c r="K363" s="139">
        <v>0</v>
      </c>
      <c r="L363" s="139">
        <v>0</v>
      </c>
      <c r="M363" s="139">
        <v>0</v>
      </c>
      <c r="N363" s="139">
        <v>0</v>
      </c>
      <c r="O363" s="139">
        <v>0</v>
      </c>
      <c r="P363" s="139">
        <v>0</v>
      </c>
      <c r="Q363" s="139">
        <v>0</v>
      </c>
      <c r="R363" s="139">
        <v>0</v>
      </c>
      <c r="S363" s="139">
        <v>0</v>
      </c>
      <c r="T363" s="139">
        <v>0</v>
      </c>
      <c r="U363" s="139">
        <v>0</v>
      </c>
      <c r="V363" s="139">
        <v>0</v>
      </c>
      <c r="W363" s="139">
        <v>0</v>
      </c>
      <c r="X363" s="139">
        <v>0</v>
      </c>
      <c r="Y363" s="139">
        <v>0</v>
      </c>
      <c r="Z363" s="139">
        <v>0</v>
      </c>
      <c r="AA363" s="139">
        <v>0</v>
      </c>
      <c r="AB363" s="139">
        <v>0</v>
      </c>
      <c r="AC363" s="139">
        <v>0</v>
      </c>
      <c r="AD363" s="139">
        <v>0</v>
      </c>
      <c r="AE363" s="139">
        <v>0</v>
      </c>
      <c r="AF363" s="139">
        <v>0</v>
      </c>
      <c r="AG363" s="139">
        <v>0</v>
      </c>
      <c r="AH363" s="139">
        <v>0</v>
      </c>
      <c r="AI363" s="139">
        <v>0</v>
      </c>
      <c r="AJ363" s="139">
        <v>0</v>
      </c>
      <c r="AK363" s="139">
        <v>0</v>
      </c>
      <c r="AL363" s="139">
        <v>0</v>
      </c>
      <c r="AM363" s="139">
        <v>0</v>
      </c>
      <c r="AN363" s="139">
        <v>0</v>
      </c>
      <c r="AO363" s="139">
        <v>0</v>
      </c>
      <c r="AP363" s="139">
        <v>37740</v>
      </c>
      <c r="AQ363" s="139">
        <v>37740</v>
      </c>
      <c r="AR363" s="139">
        <v>37740</v>
      </c>
      <c r="AS363" s="139">
        <v>37740</v>
      </c>
      <c r="AT363" s="139">
        <v>37740</v>
      </c>
      <c r="AU363" s="139">
        <v>37740</v>
      </c>
      <c r="AV363" s="140"/>
    </row>
    <row r="364" spans="2:48" ht="15.75" customHeight="1" x14ac:dyDescent="0.2">
      <c r="B364" s="136" t="s">
        <v>345</v>
      </c>
      <c r="C364" s="137">
        <v>0</v>
      </c>
      <c r="D364" s="138">
        <v>0</v>
      </c>
      <c r="E364" s="139">
        <v>0</v>
      </c>
      <c r="F364" s="139">
        <v>0</v>
      </c>
      <c r="G364" s="139">
        <v>0</v>
      </c>
      <c r="H364" s="139">
        <v>0</v>
      </c>
      <c r="I364" s="139">
        <v>0</v>
      </c>
      <c r="J364" s="139">
        <v>0</v>
      </c>
      <c r="K364" s="139">
        <v>0</v>
      </c>
      <c r="L364" s="139">
        <v>0</v>
      </c>
      <c r="M364" s="139">
        <v>0</v>
      </c>
      <c r="N364" s="139">
        <v>0</v>
      </c>
      <c r="O364" s="139">
        <v>0</v>
      </c>
      <c r="P364" s="139">
        <v>0</v>
      </c>
      <c r="Q364" s="139">
        <v>0</v>
      </c>
      <c r="R364" s="139">
        <v>0</v>
      </c>
      <c r="S364" s="139">
        <v>0</v>
      </c>
      <c r="T364" s="139">
        <v>0</v>
      </c>
      <c r="U364" s="139">
        <v>0</v>
      </c>
      <c r="V364" s="139">
        <v>0</v>
      </c>
      <c r="W364" s="139">
        <v>0</v>
      </c>
      <c r="X364" s="139">
        <v>0</v>
      </c>
      <c r="Y364" s="139">
        <v>0</v>
      </c>
      <c r="Z364" s="139">
        <v>0</v>
      </c>
      <c r="AA364" s="139">
        <v>0</v>
      </c>
      <c r="AB364" s="139">
        <v>0</v>
      </c>
      <c r="AC364" s="139">
        <v>0</v>
      </c>
      <c r="AD364" s="139">
        <v>0</v>
      </c>
      <c r="AE364" s="139">
        <v>0</v>
      </c>
      <c r="AF364" s="139">
        <v>0</v>
      </c>
      <c r="AG364" s="139">
        <v>0</v>
      </c>
      <c r="AH364" s="139">
        <v>0</v>
      </c>
      <c r="AI364" s="139">
        <v>0</v>
      </c>
      <c r="AJ364" s="139">
        <v>0</v>
      </c>
      <c r="AK364" s="139">
        <v>0</v>
      </c>
      <c r="AL364" s="139">
        <v>0</v>
      </c>
      <c r="AM364" s="139">
        <v>0</v>
      </c>
      <c r="AN364" s="139">
        <v>0</v>
      </c>
      <c r="AO364" s="139">
        <v>0</v>
      </c>
      <c r="AP364" s="139">
        <v>0</v>
      </c>
      <c r="AQ364" s="139">
        <v>9600</v>
      </c>
      <c r="AR364" s="139">
        <v>9600</v>
      </c>
      <c r="AS364" s="139">
        <v>9600</v>
      </c>
      <c r="AT364" s="139">
        <v>9600</v>
      </c>
      <c r="AU364" s="139">
        <v>9600</v>
      </c>
      <c r="AV364" s="140"/>
    </row>
    <row r="365" spans="2:48" ht="15.75" customHeight="1" x14ac:dyDescent="0.2">
      <c r="B365" s="136" t="s">
        <v>346</v>
      </c>
      <c r="C365" s="137">
        <v>0</v>
      </c>
      <c r="D365" s="138">
        <v>0</v>
      </c>
      <c r="E365" s="139">
        <v>0</v>
      </c>
      <c r="F365" s="139">
        <v>0</v>
      </c>
      <c r="G365" s="139">
        <v>0</v>
      </c>
      <c r="H365" s="139">
        <v>0</v>
      </c>
      <c r="I365" s="139">
        <v>0</v>
      </c>
      <c r="J365" s="139">
        <v>0</v>
      </c>
      <c r="K365" s="139">
        <v>0</v>
      </c>
      <c r="L365" s="139">
        <v>0</v>
      </c>
      <c r="M365" s="139">
        <v>0</v>
      </c>
      <c r="N365" s="139">
        <v>0</v>
      </c>
      <c r="O365" s="139">
        <v>0</v>
      </c>
      <c r="P365" s="139">
        <v>0</v>
      </c>
      <c r="Q365" s="139">
        <v>0</v>
      </c>
      <c r="R365" s="139">
        <v>0</v>
      </c>
      <c r="S365" s="139">
        <v>0</v>
      </c>
      <c r="T365" s="139">
        <v>0</v>
      </c>
      <c r="U365" s="139">
        <v>0</v>
      </c>
      <c r="V365" s="139">
        <v>0</v>
      </c>
      <c r="W365" s="139">
        <v>0</v>
      </c>
      <c r="X365" s="139">
        <v>0</v>
      </c>
      <c r="Y365" s="139">
        <v>0</v>
      </c>
      <c r="Z365" s="139">
        <v>0</v>
      </c>
      <c r="AA365" s="139">
        <v>0</v>
      </c>
      <c r="AB365" s="139">
        <v>0</v>
      </c>
      <c r="AC365" s="139">
        <v>0</v>
      </c>
      <c r="AD365" s="139">
        <v>0</v>
      </c>
      <c r="AE365" s="139">
        <v>0</v>
      </c>
      <c r="AF365" s="139">
        <v>0</v>
      </c>
      <c r="AG365" s="139">
        <v>0</v>
      </c>
      <c r="AH365" s="139">
        <v>0</v>
      </c>
      <c r="AI365" s="139">
        <v>0</v>
      </c>
      <c r="AJ365" s="139">
        <v>0</v>
      </c>
      <c r="AK365" s="139">
        <v>0</v>
      </c>
      <c r="AL365" s="139">
        <v>0</v>
      </c>
      <c r="AM365" s="139">
        <v>0</v>
      </c>
      <c r="AN365" s="139">
        <v>0</v>
      </c>
      <c r="AO365" s="139">
        <v>0</v>
      </c>
      <c r="AP365" s="139">
        <v>0</v>
      </c>
      <c r="AQ365" s="139">
        <v>30660</v>
      </c>
      <c r="AR365" s="139">
        <v>30660</v>
      </c>
      <c r="AS365" s="139">
        <v>30660</v>
      </c>
      <c r="AT365" s="139">
        <v>30660</v>
      </c>
      <c r="AU365" s="139">
        <v>30660</v>
      </c>
      <c r="AV365" s="140"/>
    </row>
    <row r="366" spans="2:48" ht="15.75" customHeight="1" x14ac:dyDescent="0.2">
      <c r="B366" s="136" t="s">
        <v>347</v>
      </c>
      <c r="C366" s="137">
        <v>0</v>
      </c>
      <c r="D366" s="138">
        <v>0</v>
      </c>
      <c r="E366" s="139">
        <v>0</v>
      </c>
      <c r="F366" s="139">
        <v>0</v>
      </c>
      <c r="G366" s="139">
        <v>0</v>
      </c>
      <c r="H366" s="139">
        <v>0</v>
      </c>
      <c r="I366" s="139">
        <v>0</v>
      </c>
      <c r="J366" s="139">
        <v>0</v>
      </c>
      <c r="K366" s="139">
        <v>0</v>
      </c>
      <c r="L366" s="139">
        <v>0</v>
      </c>
      <c r="M366" s="139">
        <v>0</v>
      </c>
      <c r="N366" s="139">
        <v>0</v>
      </c>
      <c r="O366" s="139">
        <v>0</v>
      </c>
      <c r="P366" s="139">
        <v>0</v>
      </c>
      <c r="Q366" s="139">
        <v>0</v>
      </c>
      <c r="R366" s="139">
        <v>0</v>
      </c>
      <c r="S366" s="139">
        <v>0</v>
      </c>
      <c r="T366" s="139">
        <v>0</v>
      </c>
      <c r="U366" s="139">
        <v>0</v>
      </c>
      <c r="V366" s="139">
        <v>0</v>
      </c>
      <c r="W366" s="139">
        <v>0</v>
      </c>
      <c r="X366" s="139">
        <v>0</v>
      </c>
      <c r="Y366" s="139">
        <v>0</v>
      </c>
      <c r="Z366" s="139">
        <v>0</v>
      </c>
      <c r="AA366" s="139">
        <v>0</v>
      </c>
      <c r="AB366" s="139">
        <v>0</v>
      </c>
      <c r="AC366" s="139">
        <v>0</v>
      </c>
      <c r="AD366" s="139">
        <v>0</v>
      </c>
      <c r="AE366" s="139">
        <v>0</v>
      </c>
      <c r="AF366" s="139">
        <v>0</v>
      </c>
      <c r="AG366" s="139">
        <v>0</v>
      </c>
      <c r="AH366" s="139">
        <v>0</v>
      </c>
      <c r="AI366" s="139">
        <v>0</v>
      </c>
      <c r="AJ366" s="139">
        <v>0</v>
      </c>
      <c r="AK366" s="139">
        <v>0</v>
      </c>
      <c r="AL366" s="139">
        <v>0</v>
      </c>
      <c r="AM366" s="139">
        <v>0</v>
      </c>
      <c r="AN366" s="139">
        <v>0</v>
      </c>
      <c r="AO366" s="139">
        <v>0</v>
      </c>
      <c r="AP366" s="139">
        <v>0</v>
      </c>
      <c r="AQ366" s="139">
        <v>15000</v>
      </c>
      <c r="AR366" s="139">
        <v>15000</v>
      </c>
      <c r="AS366" s="139">
        <v>15000</v>
      </c>
      <c r="AT366" s="139">
        <v>15000</v>
      </c>
      <c r="AU366" s="139">
        <v>15000</v>
      </c>
      <c r="AV366" s="140"/>
    </row>
    <row r="367" spans="2:48" ht="15.75" customHeight="1" x14ac:dyDescent="0.2">
      <c r="B367" s="136" t="s">
        <v>348</v>
      </c>
      <c r="C367" s="137">
        <v>0</v>
      </c>
      <c r="D367" s="138">
        <v>0</v>
      </c>
      <c r="E367" s="139">
        <v>0</v>
      </c>
      <c r="F367" s="139">
        <v>0</v>
      </c>
      <c r="G367" s="139">
        <v>0</v>
      </c>
      <c r="H367" s="139">
        <v>0</v>
      </c>
      <c r="I367" s="139">
        <v>0</v>
      </c>
      <c r="J367" s="139">
        <v>0</v>
      </c>
      <c r="K367" s="139">
        <v>0</v>
      </c>
      <c r="L367" s="139">
        <v>0</v>
      </c>
      <c r="M367" s="139">
        <v>0</v>
      </c>
      <c r="N367" s="139">
        <v>0</v>
      </c>
      <c r="O367" s="139">
        <v>0</v>
      </c>
      <c r="P367" s="139">
        <v>0</v>
      </c>
      <c r="Q367" s="139">
        <v>0</v>
      </c>
      <c r="R367" s="139">
        <v>0</v>
      </c>
      <c r="S367" s="139">
        <v>0</v>
      </c>
      <c r="T367" s="139">
        <v>0</v>
      </c>
      <c r="U367" s="139">
        <v>0</v>
      </c>
      <c r="V367" s="139">
        <v>0</v>
      </c>
      <c r="W367" s="139">
        <v>0</v>
      </c>
      <c r="X367" s="139">
        <v>0</v>
      </c>
      <c r="Y367" s="139">
        <v>0</v>
      </c>
      <c r="Z367" s="139">
        <v>0</v>
      </c>
      <c r="AA367" s="139">
        <v>0</v>
      </c>
      <c r="AB367" s="139">
        <v>0</v>
      </c>
      <c r="AC367" s="139">
        <v>0</v>
      </c>
      <c r="AD367" s="139">
        <v>0</v>
      </c>
      <c r="AE367" s="139">
        <v>0</v>
      </c>
      <c r="AF367" s="139">
        <v>0</v>
      </c>
      <c r="AG367" s="139">
        <v>0</v>
      </c>
      <c r="AH367" s="139">
        <v>0</v>
      </c>
      <c r="AI367" s="139">
        <v>0</v>
      </c>
      <c r="AJ367" s="139">
        <v>0</v>
      </c>
      <c r="AK367" s="139">
        <v>0</v>
      </c>
      <c r="AL367" s="139">
        <v>0</v>
      </c>
      <c r="AM367" s="139">
        <v>0</v>
      </c>
      <c r="AN367" s="139">
        <v>0</v>
      </c>
      <c r="AO367" s="139">
        <v>0</v>
      </c>
      <c r="AP367" s="139">
        <v>0</v>
      </c>
      <c r="AQ367" s="139">
        <v>9600</v>
      </c>
      <c r="AR367" s="139">
        <v>9600</v>
      </c>
      <c r="AS367" s="139">
        <v>9600</v>
      </c>
      <c r="AT367" s="139">
        <v>9600</v>
      </c>
      <c r="AU367" s="139">
        <v>9600</v>
      </c>
      <c r="AV367" s="140"/>
    </row>
    <row r="368" spans="2:48" ht="15.75" customHeight="1" x14ac:dyDescent="0.2">
      <c r="B368" s="136" t="s">
        <v>349</v>
      </c>
      <c r="C368" s="137">
        <v>0</v>
      </c>
      <c r="D368" s="138">
        <v>0</v>
      </c>
      <c r="E368" s="139">
        <v>0</v>
      </c>
      <c r="F368" s="139">
        <v>0</v>
      </c>
      <c r="G368" s="139">
        <v>0</v>
      </c>
      <c r="H368" s="139">
        <v>0</v>
      </c>
      <c r="I368" s="139">
        <v>0</v>
      </c>
      <c r="J368" s="139">
        <v>0</v>
      </c>
      <c r="K368" s="139">
        <v>0</v>
      </c>
      <c r="L368" s="139">
        <v>0</v>
      </c>
      <c r="M368" s="139">
        <v>0</v>
      </c>
      <c r="N368" s="139">
        <v>0</v>
      </c>
      <c r="O368" s="139">
        <v>0</v>
      </c>
      <c r="P368" s="139">
        <v>0</v>
      </c>
      <c r="Q368" s="139">
        <v>0</v>
      </c>
      <c r="R368" s="139">
        <v>0</v>
      </c>
      <c r="S368" s="139">
        <v>0</v>
      </c>
      <c r="T368" s="139">
        <v>0</v>
      </c>
      <c r="U368" s="139">
        <v>0</v>
      </c>
      <c r="V368" s="139">
        <v>0</v>
      </c>
      <c r="W368" s="139">
        <v>0</v>
      </c>
      <c r="X368" s="139">
        <v>0</v>
      </c>
      <c r="Y368" s="139">
        <v>0</v>
      </c>
      <c r="Z368" s="139">
        <v>0</v>
      </c>
      <c r="AA368" s="139">
        <v>0</v>
      </c>
      <c r="AB368" s="139">
        <v>0</v>
      </c>
      <c r="AC368" s="139">
        <v>0</v>
      </c>
      <c r="AD368" s="139">
        <v>0</v>
      </c>
      <c r="AE368" s="139">
        <v>0</v>
      </c>
      <c r="AF368" s="139">
        <v>0</v>
      </c>
      <c r="AG368" s="139">
        <v>0</v>
      </c>
      <c r="AH368" s="139">
        <v>0</v>
      </c>
      <c r="AI368" s="139">
        <v>0</v>
      </c>
      <c r="AJ368" s="139">
        <v>0</v>
      </c>
      <c r="AK368" s="139">
        <v>0</v>
      </c>
      <c r="AL368" s="139">
        <v>0</v>
      </c>
      <c r="AM368" s="139">
        <v>0</v>
      </c>
      <c r="AN368" s="139">
        <v>0</v>
      </c>
      <c r="AO368" s="139">
        <v>0</v>
      </c>
      <c r="AP368" s="139">
        <v>0</v>
      </c>
      <c r="AQ368" s="139">
        <v>9600</v>
      </c>
      <c r="AR368" s="139">
        <v>9600</v>
      </c>
      <c r="AS368" s="139">
        <v>9600</v>
      </c>
      <c r="AT368" s="139">
        <v>9600</v>
      </c>
      <c r="AU368" s="139">
        <v>9600</v>
      </c>
      <c r="AV368" s="140"/>
    </row>
    <row r="369" spans="2:48" ht="15.75" customHeight="1" x14ac:dyDescent="0.2">
      <c r="B369" s="136" t="s">
        <v>350</v>
      </c>
      <c r="C369" s="137">
        <v>0</v>
      </c>
      <c r="D369" s="138">
        <v>0</v>
      </c>
      <c r="E369" s="139">
        <v>0</v>
      </c>
      <c r="F369" s="139">
        <v>0</v>
      </c>
      <c r="G369" s="139">
        <v>0</v>
      </c>
      <c r="H369" s="139">
        <v>0</v>
      </c>
      <c r="I369" s="139">
        <v>0</v>
      </c>
      <c r="J369" s="139">
        <v>0</v>
      </c>
      <c r="K369" s="139">
        <v>0</v>
      </c>
      <c r="L369" s="139">
        <v>0</v>
      </c>
      <c r="M369" s="139">
        <v>0</v>
      </c>
      <c r="N369" s="139">
        <v>0</v>
      </c>
      <c r="O369" s="139">
        <v>0</v>
      </c>
      <c r="P369" s="139">
        <v>0</v>
      </c>
      <c r="Q369" s="139">
        <v>0</v>
      </c>
      <c r="R369" s="139">
        <v>0</v>
      </c>
      <c r="S369" s="139">
        <v>0</v>
      </c>
      <c r="T369" s="139">
        <v>0</v>
      </c>
      <c r="U369" s="139">
        <v>0</v>
      </c>
      <c r="V369" s="139">
        <v>0</v>
      </c>
      <c r="W369" s="139">
        <v>0</v>
      </c>
      <c r="X369" s="139">
        <v>0</v>
      </c>
      <c r="Y369" s="139">
        <v>0</v>
      </c>
      <c r="Z369" s="139">
        <v>0</v>
      </c>
      <c r="AA369" s="139">
        <v>0</v>
      </c>
      <c r="AB369" s="139">
        <v>0</v>
      </c>
      <c r="AC369" s="139">
        <v>0</v>
      </c>
      <c r="AD369" s="139">
        <v>0</v>
      </c>
      <c r="AE369" s="139">
        <v>0</v>
      </c>
      <c r="AF369" s="139">
        <v>0</v>
      </c>
      <c r="AG369" s="139">
        <v>0</v>
      </c>
      <c r="AH369" s="139">
        <v>0</v>
      </c>
      <c r="AI369" s="139">
        <v>0</v>
      </c>
      <c r="AJ369" s="139">
        <v>0</v>
      </c>
      <c r="AK369" s="139">
        <v>0</v>
      </c>
      <c r="AL369" s="139">
        <v>0</v>
      </c>
      <c r="AM369" s="139">
        <v>0</v>
      </c>
      <c r="AN369" s="139">
        <v>0</v>
      </c>
      <c r="AO369" s="139">
        <v>0</v>
      </c>
      <c r="AP369" s="139">
        <v>0</v>
      </c>
      <c r="AQ369" s="139">
        <v>24570</v>
      </c>
      <c r="AR369" s="139">
        <v>24570</v>
      </c>
      <c r="AS369" s="139">
        <v>24570</v>
      </c>
      <c r="AT369" s="139">
        <v>24570</v>
      </c>
      <c r="AU369" s="139">
        <v>24570</v>
      </c>
      <c r="AV369" s="140"/>
    </row>
    <row r="370" spans="2:48" ht="15.75" customHeight="1" x14ac:dyDescent="0.2">
      <c r="B370" s="136" t="s">
        <v>351</v>
      </c>
      <c r="C370" s="137">
        <v>0</v>
      </c>
      <c r="D370" s="138">
        <v>0</v>
      </c>
      <c r="E370" s="139">
        <v>0</v>
      </c>
      <c r="F370" s="139">
        <v>0</v>
      </c>
      <c r="G370" s="139">
        <v>0</v>
      </c>
      <c r="H370" s="139">
        <v>0</v>
      </c>
      <c r="I370" s="139">
        <v>0</v>
      </c>
      <c r="J370" s="139">
        <v>0</v>
      </c>
      <c r="K370" s="139">
        <v>0</v>
      </c>
      <c r="L370" s="139">
        <v>0</v>
      </c>
      <c r="M370" s="139">
        <v>0</v>
      </c>
      <c r="N370" s="139">
        <v>0</v>
      </c>
      <c r="O370" s="139">
        <v>0</v>
      </c>
      <c r="P370" s="139">
        <v>0</v>
      </c>
      <c r="Q370" s="139">
        <v>0</v>
      </c>
      <c r="R370" s="139">
        <v>0</v>
      </c>
      <c r="S370" s="139">
        <v>0</v>
      </c>
      <c r="T370" s="139">
        <v>0</v>
      </c>
      <c r="U370" s="139">
        <v>0</v>
      </c>
      <c r="V370" s="139">
        <v>0</v>
      </c>
      <c r="W370" s="139">
        <v>0</v>
      </c>
      <c r="X370" s="139">
        <v>0</v>
      </c>
      <c r="Y370" s="139">
        <v>0</v>
      </c>
      <c r="Z370" s="139">
        <v>0</v>
      </c>
      <c r="AA370" s="139">
        <v>0</v>
      </c>
      <c r="AB370" s="139">
        <v>0</v>
      </c>
      <c r="AC370" s="139">
        <v>0</v>
      </c>
      <c r="AD370" s="139">
        <v>0</v>
      </c>
      <c r="AE370" s="139">
        <v>0</v>
      </c>
      <c r="AF370" s="139">
        <v>0</v>
      </c>
      <c r="AG370" s="139">
        <v>0</v>
      </c>
      <c r="AH370" s="139">
        <v>0</v>
      </c>
      <c r="AI370" s="139">
        <v>0</v>
      </c>
      <c r="AJ370" s="139">
        <v>0</v>
      </c>
      <c r="AK370" s="139">
        <v>0</v>
      </c>
      <c r="AL370" s="139">
        <v>0</v>
      </c>
      <c r="AM370" s="139">
        <v>0</v>
      </c>
      <c r="AN370" s="139">
        <v>0</v>
      </c>
      <c r="AO370" s="139">
        <v>0</v>
      </c>
      <c r="AP370" s="139">
        <v>0</v>
      </c>
      <c r="AQ370" s="139">
        <v>9600</v>
      </c>
      <c r="AR370" s="139">
        <v>9600</v>
      </c>
      <c r="AS370" s="139">
        <v>9600</v>
      </c>
      <c r="AT370" s="139">
        <v>9600</v>
      </c>
      <c r="AU370" s="139">
        <v>9600</v>
      </c>
      <c r="AV370" s="140"/>
    </row>
    <row r="371" spans="2:48" ht="15.75" customHeight="1" x14ac:dyDescent="0.2">
      <c r="B371" s="136" t="s">
        <v>352</v>
      </c>
      <c r="C371" s="137">
        <v>0</v>
      </c>
      <c r="D371" s="138">
        <v>0</v>
      </c>
      <c r="E371" s="139">
        <v>0</v>
      </c>
      <c r="F371" s="139">
        <v>0</v>
      </c>
      <c r="G371" s="139">
        <v>0</v>
      </c>
      <c r="H371" s="139">
        <v>0</v>
      </c>
      <c r="I371" s="139">
        <v>0</v>
      </c>
      <c r="J371" s="139">
        <v>0</v>
      </c>
      <c r="K371" s="139">
        <v>0</v>
      </c>
      <c r="L371" s="139">
        <v>0</v>
      </c>
      <c r="M371" s="139">
        <v>0</v>
      </c>
      <c r="N371" s="139">
        <v>0</v>
      </c>
      <c r="O371" s="139">
        <v>0</v>
      </c>
      <c r="P371" s="139">
        <v>0</v>
      </c>
      <c r="Q371" s="139">
        <v>0</v>
      </c>
      <c r="R371" s="139">
        <v>0</v>
      </c>
      <c r="S371" s="139">
        <v>0</v>
      </c>
      <c r="T371" s="139">
        <v>0</v>
      </c>
      <c r="U371" s="139">
        <v>0</v>
      </c>
      <c r="V371" s="139">
        <v>0</v>
      </c>
      <c r="W371" s="139">
        <v>0</v>
      </c>
      <c r="X371" s="139">
        <v>0</v>
      </c>
      <c r="Y371" s="139">
        <v>0</v>
      </c>
      <c r="Z371" s="139">
        <v>0</v>
      </c>
      <c r="AA371" s="139">
        <v>0</v>
      </c>
      <c r="AB371" s="139">
        <v>0</v>
      </c>
      <c r="AC371" s="139">
        <v>0</v>
      </c>
      <c r="AD371" s="139">
        <v>0</v>
      </c>
      <c r="AE371" s="139">
        <v>0</v>
      </c>
      <c r="AF371" s="139">
        <v>0</v>
      </c>
      <c r="AG371" s="139">
        <v>0</v>
      </c>
      <c r="AH371" s="139">
        <v>0</v>
      </c>
      <c r="AI371" s="139">
        <v>0</v>
      </c>
      <c r="AJ371" s="139">
        <v>0</v>
      </c>
      <c r="AK371" s="139">
        <v>0</v>
      </c>
      <c r="AL371" s="139">
        <v>0</v>
      </c>
      <c r="AM371" s="139">
        <v>0</v>
      </c>
      <c r="AN371" s="139">
        <v>0</v>
      </c>
      <c r="AO371" s="139">
        <v>0</v>
      </c>
      <c r="AP371" s="139">
        <v>0</v>
      </c>
      <c r="AQ371" s="139">
        <v>9600</v>
      </c>
      <c r="AR371" s="139">
        <v>9600</v>
      </c>
      <c r="AS371" s="139">
        <v>9600</v>
      </c>
      <c r="AT371" s="139">
        <v>9600</v>
      </c>
      <c r="AU371" s="139">
        <v>9600</v>
      </c>
      <c r="AV371" s="140"/>
    </row>
    <row r="372" spans="2:48" ht="15.75" customHeight="1" x14ac:dyDescent="0.2">
      <c r="B372" s="136" t="s">
        <v>353</v>
      </c>
      <c r="C372" s="137">
        <v>0</v>
      </c>
      <c r="D372" s="138">
        <v>0</v>
      </c>
      <c r="E372" s="139">
        <v>0</v>
      </c>
      <c r="F372" s="139">
        <v>0</v>
      </c>
      <c r="G372" s="139">
        <v>0</v>
      </c>
      <c r="H372" s="139">
        <v>0</v>
      </c>
      <c r="I372" s="139">
        <v>0</v>
      </c>
      <c r="J372" s="139">
        <v>0</v>
      </c>
      <c r="K372" s="139">
        <v>0</v>
      </c>
      <c r="L372" s="139">
        <v>0</v>
      </c>
      <c r="M372" s="139">
        <v>0</v>
      </c>
      <c r="N372" s="139">
        <v>0</v>
      </c>
      <c r="O372" s="139">
        <v>0</v>
      </c>
      <c r="P372" s="139">
        <v>0</v>
      </c>
      <c r="Q372" s="139">
        <v>0</v>
      </c>
      <c r="R372" s="139">
        <v>0</v>
      </c>
      <c r="S372" s="139">
        <v>0</v>
      </c>
      <c r="T372" s="139">
        <v>0</v>
      </c>
      <c r="U372" s="139">
        <v>0</v>
      </c>
      <c r="V372" s="139">
        <v>0</v>
      </c>
      <c r="W372" s="139">
        <v>0</v>
      </c>
      <c r="X372" s="139">
        <v>0</v>
      </c>
      <c r="Y372" s="139">
        <v>0</v>
      </c>
      <c r="Z372" s="139">
        <v>0</v>
      </c>
      <c r="AA372" s="139">
        <v>0</v>
      </c>
      <c r="AB372" s="139">
        <v>0</v>
      </c>
      <c r="AC372" s="139">
        <v>0</v>
      </c>
      <c r="AD372" s="139">
        <v>0</v>
      </c>
      <c r="AE372" s="139">
        <v>0</v>
      </c>
      <c r="AF372" s="139">
        <v>0</v>
      </c>
      <c r="AG372" s="139">
        <v>0</v>
      </c>
      <c r="AH372" s="139">
        <v>0</v>
      </c>
      <c r="AI372" s="139">
        <v>0</v>
      </c>
      <c r="AJ372" s="139">
        <v>0</v>
      </c>
      <c r="AK372" s="139">
        <v>0</v>
      </c>
      <c r="AL372" s="139">
        <v>0</v>
      </c>
      <c r="AM372" s="139">
        <v>0</v>
      </c>
      <c r="AN372" s="139">
        <v>0</v>
      </c>
      <c r="AO372" s="139">
        <v>0</v>
      </c>
      <c r="AP372" s="139">
        <v>0</v>
      </c>
      <c r="AQ372" s="139">
        <v>13536</v>
      </c>
      <c r="AR372" s="139">
        <v>13536</v>
      </c>
      <c r="AS372" s="139">
        <v>13536</v>
      </c>
      <c r="AT372" s="139">
        <v>13536</v>
      </c>
      <c r="AU372" s="139">
        <v>13536</v>
      </c>
      <c r="AV372" s="140"/>
    </row>
    <row r="373" spans="2:48" ht="15.75" customHeight="1" x14ac:dyDescent="0.2">
      <c r="B373" s="136" t="s">
        <v>354</v>
      </c>
      <c r="C373" s="137">
        <v>0</v>
      </c>
      <c r="D373" s="138">
        <v>0</v>
      </c>
      <c r="E373" s="139">
        <v>0</v>
      </c>
      <c r="F373" s="139">
        <v>0</v>
      </c>
      <c r="G373" s="139">
        <v>0</v>
      </c>
      <c r="H373" s="139">
        <v>0</v>
      </c>
      <c r="I373" s="139">
        <v>0</v>
      </c>
      <c r="J373" s="139">
        <v>0</v>
      </c>
      <c r="K373" s="139">
        <v>0</v>
      </c>
      <c r="L373" s="139">
        <v>0</v>
      </c>
      <c r="M373" s="139">
        <v>0</v>
      </c>
      <c r="N373" s="139">
        <v>0</v>
      </c>
      <c r="O373" s="139">
        <v>0</v>
      </c>
      <c r="P373" s="139">
        <v>0</v>
      </c>
      <c r="Q373" s="139">
        <v>0</v>
      </c>
      <c r="R373" s="139">
        <v>0</v>
      </c>
      <c r="S373" s="139">
        <v>0</v>
      </c>
      <c r="T373" s="139">
        <v>0</v>
      </c>
      <c r="U373" s="139">
        <v>0</v>
      </c>
      <c r="V373" s="139">
        <v>0</v>
      </c>
      <c r="W373" s="139">
        <v>0</v>
      </c>
      <c r="X373" s="139">
        <v>0</v>
      </c>
      <c r="Y373" s="139">
        <v>0</v>
      </c>
      <c r="Z373" s="139">
        <v>0</v>
      </c>
      <c r="AA373" s="139">
        <v>0</v>
      </c>
      <c r="AB373" s="139">
        <v>0</v>
      </c>
      <c r="AC373" s="139">
        <v>0</v>
      </c>
      <c r="AD373" s="139">
        <v>0</v>
      </c>
      <c r="AE373" s="139">
        <v>0</v>
      </c>
      <c r="AF373" s="139">
        <v>0</v>
      </c>
      <c r="AG373" s="139">
        <v>0</v>
      </c>
      <c r="AH373" s="139">
        <v>0</v>
      </c>
      <c r="AI373" s="139">
        <v>0</v>
      </c>
      <c r="AJ373" s="139">
        <v>0</v>
      </c>
      <c r="AK373" s="139">
        <v>0</v>
      </c>
      <c r="AL373" s="139">
        <v>0</v>
      </c>
      <c r="AM373" s="139">
        <v>0</v>
      </c>
      <c r="AN373" s="139">
        <v>0</v>
      </c>
      <c r="AO373" s="139">
        <v>0</v>
      </c>
      <c r="AP373" s="139">
        <v>0</v>
      </c>
      <c r="AQ373" s="139">
        <v>38400</v>
      </c>
      <c r="AR373" s="139">
        <v>38400</v>
      </c>
      <c r="AS373" s="139">
        <v>38400</v>
      </c>
      <c r="AT373" s="139">
        <v>38400</v>
      </c>
      <c r="AU373" s="139">
        <v>38400</v>
      </c>
      <c r="AV373" s="140"/>
    </row>
    <row r="374" spans="2:48" ht="15.75" customHeight="1" x14ac:dyDescent="0.2">
      <c r="B374" s="136" t="s">
        <v>355</v>
      </c>
      <c r="C374" s="137">
        <v>0</v>
      </c>
      <c r="D374" s="138">
        <v>0</v>
      </c>
      <c r="E374" s="139">
        <v>0</v>
      </c>
      <c r="F374" s="139">
        <v>0</v>
      </c>
      <c r="G374" s="139">
        <v>0</v>
      </c>
      <c r="H374" s="139">
        <v>0</v>
      </c>
      <c r="I374" s="139">
        <v>0</v>
      </c>
      <c r="J374" s="139">
        <v>0</v>
      </c>
      <c r="K374" s="139">
        <v>0</v>
      </c>
      <c r="L374" s="139">
        <v>0</v>
      </c>
      <c r="M374" s="139">
        <v>0</v>
      </c>
      <c r="N374" s="139">
        <v>0</v>
      </c>
      <c r="O374" s="139">
        <v>0</v>
      </c>
      <c r="P374" s="139">
        <v>0</v>
      </c>
      <c r="Q374" s="139">
        <v>0</v>
      </c>
      <c r="R374" s="139">
        <v>0</v>
      </c>
      <c r="S374" s="139">
        <v>0</v>
      </c>
      <c r="T374" s="139">
        <v>0</v>
      </c>
      <c r="U374" s="139">
        <v>0</v>
      </c>
      <c r="V374" s="139">
        <v>0</v>
      </c>
      <c r="W374" s="139">
        <v>0</v>
      </c>
      <c r="X374" s="139">
        <v>0</v>
      </c>
      <c r="Y374" s="139">
        <v>0</v>
      </c>
      <c r="Z374" s="139">
        <v>0</v>
      </c>
      <c r="AA374" s="139">
        <v>0</v>
      </c>
      <c r="AB374" s="139">
        <v>0</v>
      </c>
      <c r="AC374" s="139">
        <v>0</v>
      </c>
      <c r="AD374" s="139">
        <v>0</v>
      </c>
      <c r="AE374" s="139">
        <v>0</v>
      </c>
      <c r="AF374" s="139">
        <v>0</v>
      </c>
      <c r="AG374" s="139">
        <v>0</v>
      </c>
      <c r="AH374" s="139">
        <v>0</v>
      </c>
      <c r="AI374" s="139">
        <v>0</v>
      </c>
      <c r="AJ374" s="139">
        <v>0</v>
      </c>
      <c r="AK374" s="139">
        <v>0</v>
      </c>
      <c r="AL374" s="139">
        <v>0</v>
      </c>
      <c r="AM374" s="139">
        <v>0</v>
      </c>
      <c r="AN374" s="139">
        <v>0</v>
      </c>
      <c r="AO374" s="139">
        <v>0</v>
      </c>
      <c r="AP374" s="139">
        <v>0</v>
      </c>
      <c r="AQ374" s="139">
        <v>10800</v>
      </c>
      <c r="AR374" s="139">
        <v>10800</v>
      </c>
      <c r="AS374" s="139">
        <v>10800</v>
      </c>
      <c r="AT374" s="139">
        <v>10800</v>
      </c>
      <c r="AU374" s="139">
        <v>10800</v>
      </c>
      <c r="AV374" s="140"/>
    </row>
    <row r="375" spans="2:48" ht="15.75" customHeight="1" x14ac:dyDescent="0.2">
      <c r="B375" s="136" t="s">
        <v>356</v>
      </c>
      <c r="C375" s="137">
        <v>0</v>
      </c>
      <c r="D375" s="138">
        <v>0</v>
      </c>
      <c r="E375" s="139">
        <v>0</v>
      </c>
      <c r="F375" s="139">
        <v>0</v>
      </c>
      <c r="G375" s="139">
        <v>0</v>
      </c>
      <c r="H375" s="139">
        <v>0</v>
      </c>
      <c r="I375" s="139">
        <v>0</v>
      </c>
      <c r="J375" s="139">
        <v>0</v>
      </c>
      <c r="K375" s="139">
        <v>0</v>
      </c>
      <c r="L375" s="139">
        <v>0</v>
      </c>
      <c r="M375" s="139">
        <v>0</v>
      </c>
      <c r="N375" s="139">
        <v>0</v>
      </c>
      <c r="O375" s="139">
        <v>0</v>
      </c>
      <c r="P375" s="139">
        <v>0</v>
      </c>
      <c r="Q375" s="139">
        <v>0</v>
      </c>
      <c r="R375" s="139">
        <v>0</v>
      </c>
      <c r="S375" s="139">
        <v>0</v>
      </c>
      <c r="T375" s="139">
        <v>0</v>
      </c>
      <c r="U375" s="139">
        <v>0</v>
      </c>
      <c r="V375" s="139">
        <v>0</v>
      </c>
      <c r="W375" s="139">
        <v>0</v>
      </c>
      <c r="X375" s="139">
        <v>0</v>
      </c>
      <c r="Y375" s="139">
        <v>0</v>
      </c>
      <c r="Z375" s="139">
        <v>0</v>
      </c>
      <c r="AA375" s="139">
        <v>0</v>
      </c>
      <c r="AB375" s="139">
        <v>0</v>
      </c>
      <c r="AC375" s="139">
        <v>0</v>
      </c>
      <c r="AD375" s="139">
        <v>0</v>
      </c>
      <c r="AE375" s="139">
        <v>0</v>
      </c>
      <c r="AF375" s="139">
        <v>0</v>
      </c>
      <c r="AG375" s="139">
        <v>0</v>
      </c>
      <c r="AH375" s="139">
        <v>0</v>
      </c>
      <c r="AI375" s="139">
        <v>0</v>
      </c>
      <c r="AJ375" s="139">
        <v>0</v>
      </c>
      <c r="AK375" s="139">
        <v>0</v>
      </c>
      <c r="AL375" s="139">
        <v>0</v>
      </c>
      <c r="AM375" s="139">
        <v>0</v>
      </c>
      <c r="AN375" s="139">
        <v>0</v>
      </c>
      <c r="AO375" s="139">
        <v>0</v>
      </c>
      <c r="AP375" s="139">
        <v>0</v>
      </c>
      <c r="AQ375" s="139">
        <v>31200</v>
      </c>
      <c r="AR375" s="139">
        <v>31200</v>
      </c>
      <c r="AS375" s="139">
        <v>31200</v>
      </c>
      <c r="AT375" s="139">
        <v>31200</v>
      </c>
      <c r="AU375" s="139">
        <v>31200</v>
      </c>
      <c r="AV375" s="140"/>
    </row>
    <row r="376" spans="2:48" ht="15.75" customHeight="1" x14ac:dyDescent="0.2">
      <c r="B376" s="136" t="s">
        <v>357</v>
      </c>
      <c r="C376" s="137">
        <v>0</v>
      </c>
      <c r="D376" s="138">
        <v>0</v>
      </c>
      <c r="E376" s="139">
        <v>0</v>
      </c>
      <c r="F376" s="139">
        <v>0</v>
      </c>
      <c r="G376" s="139">
        <v>0</v>
      </c>
      <c r="H376" s="139">
        <v>0</v>
      </c>
      <c r="I376" s="139">
        <v>0</v>
      </c>
      <c r="J376" s="139">
        <v>0</v>
      </c>
      <c r="K376" s="139">
        <v>0</v>
      </c>
      <c r="L376" s="139">
        <v>0</v>
      </c>
      <c r="M376" s="139">
        <v>0</v>
      </c>
      <c r="N376" s="139">
        <v>0</v>
      </c>
      <c r="O376" s="139">
        <v>0</v>
      </c>
      <c r="P376" s="139">
        <v>0</v>
      </c>
      <c r="Q376" s="139">
        <v>0</v>
      </c>
      <c r="R376" s="139">
        <v>0</v>
      </c>
      <c r="S376" s="139">
        <v>0</v>
      </c>
      <c r="T376" s="139">
        <v>0</v>
      </c>
      <c r="U376" s="139">
        <v>0</v>
      </c>
      <c r="V376" s="139">
        <v>0</v>
      </c>
      <c r="W376" s="139">
        <v>0</v>
      </c>
      <c r="X376" s="139">
        <v>0</v>
      </c>
      <c r="Y376" s="139">
        <v>0</v>
      </c>
      <c r="Z376" s="139">
        <v>0</v>
      </c>
      <c r="AA376" s="139">
        <v>0</v>
      </c>
      <c r="AB376" s="139">
        <v>0</v>
      </c>
      <c r="AC376" s="139">
        <v>0</v>
      </c>
      <c r="AD376" s="139">
        <v>0</v>
      </c>
      <c r="AE376" s="139">
        <v>0</v>
      </c>
      <c r="AF376" s="139">
        <v>0</v>
      </c>
      <c r="AG376" s="139">
        <v>0</v>
      </c>
      <c r="AH376" s="139">
        <v>0</v>
      </c>
      <c r="AI376" s="139">
        <v>0</v>
      </c>
      <c r="AJ376" s="139">
        <v>0</v>
      </c>
      <c r="AK376" s="139">
        <v>0</v>
      </c>
      <c r="AL376" s="139">
        <v>0</v>
      </c>
      <c r="AM376" s="139">
        <v>0</v>
      </c>
      <c r="AN376" s="139">
        <v>0</v>
      </c>
      <c r="AO376" s="139">
        <v>0</v>
      </c>
      <c r="AP376" s="139">
        <v>0</v>
      </c>
      <c r="AQ376" s="139">
        <v>36000</v>
      </c>
      <c r="AR376" s="139">
        <v>36000</v>
      </c>
      <c r="AS376" s="139">
        <v>36000</v>
      </c>
      <c r="AT376" s="139">
        <v>36000</v>
      </c>
      <c r="AU376" s="139">
        <v>36000</v>
      </c>
      <c r="AV376" s="140"/>
    </row>
    <row r="377" spans="2:48" ht="15.75" customHeight="1" x14ac:dyDescent="0.2">
      <c r="B377" s="136" t="s">
        <v>358</v>
      </c>
      <c r="C377" s="137">
        <v>0</v>
      </c>
      <c r="D377" s="138">
        <v>0</v>
      </c>
      <c r="E377" s="139">
        <v>0</v>
      </c>
      <c r="F377" s="139">
        <v>0</v>
      </c>
      <c r="G377" s="139">
        <v>0</v>
      </c>
      <c r="H377" s="139">
        <v>0</v>
      </c>
      <c r="I377" s="139">
        <v>0</v>
      </c>
      <c r="J377" s="139">
        <v>0</v>
      </c>
      <c r="K377" s="139">
        <v>0</v>
      </c>
      <c r="L377" s="139">
        <v>0</v>
      </c>
      <c r="M377" s="139">
        <v>0</v>
      </c>
      <c r="N377" s="139">
        <v>0</v>
      </c>
      <c r="O377" s="139">
        <v>0</v>
      </c>
      <c r="P377" s="139">
        <v>0</v>
      </c>
      <c r="Q377" s="139">
        <v>0</v>
      </c>
      <c r="R377" s="139">
        <v>0</v>
      </c>
      <c r="S377" s="139">
        <v>0</v>
      </c>
      <c r="T377" s="139">
        <v>0</v>
      </c>
      <c r="U377" s="139">
        <v>0</v>
      </c>
      <c r="V377" s="139">
        <v>0</v>
      </c>
      <c r="W377" s="139">
        <v>0</v>
      </c>
      <c r="X377" s="139">
        <v>0</v>
      </c>
      <c r="Y377" s="139">
        <v>0</v>
      </c>
      <c r="Z377" s="139">
        <v>0</v>
      </c>
      <c r="AA377" s="139">
        <v>0</v>
      </c>
      <c r="AB377" s="139">
        <v>0</v>
      </c>
      <c r="AC377" s="139">
        <v>0</v>
      </c>
      <c r="AD377" s="139">
        <v>0</v>
      </c>
      <c r="AE377" s="139">
        <v>0</v>
      </c>
      <c r="AF377" s="139">
        <v>0</v>
      </c>
      <c r="AG377" s="139">
        <v>0</v>
      </c>
      <c r="AH377" s="139">
        <v>0</v>
      </c>
      <c r="AI377" s="139">
        <v>0</v>
      </c>
      <c r="AJ377" s="139">
        <v>0</v>
      </c>
      <c r="AK377" s="139">
        <v>0</v>
      </c>
      <c r="AL377" s="139">
        <v>0</v>
      </c>
      <c r="AM377" s="139">
        <v>0</v>
      </c>
      <c r="AN377" s="139">
        <v>0</v>
      </c>
      <c r="AO377" s="139">
        <v>0</v>
      </c>
      <c r="AP377" s="139">
        <v>0</v>
      </c>
      <c r="AQ377" s="139">
        <v>9600</v>
      </c>
      <c r="AR377" s="139">
        <v>9600</v>
      </c>
      <c r="AS377" s="139">
        <v>9600</v>
      </c>
      <c r="AT377" s="139">
        <v>9600</v>
      </c>
      <c r="AU377" s="139">
        <v>9600</v>
      </c>
      <c r="AV377" s="140"/>
    </row>
    <row r="378" spans="2:48" ht="15.75" customHeight="1" x14ac:dyDescent="0.2">
      <c r="B378" s="136" t="s">
        <v>359</v>
      </c>
      <c r="C378" s="137">
        <v>0</v>
      </c>
      <c r="D378" s="138">
        <v>0</v>
      </c>
      <c r="E378" s="139">
        <v>0</v>
      </c>
      <c r="F378" s="139">
        <v>0</v>
      </c>
      <c r="G378" s="139">
        <v>0</v>
      </c>
      <c r="H378" s="139">
        <v>0</v>
      </c>
      <c r="I378" s="139">
        <v>0</v>
      </c>
      <c r="J378" s="139">
        <v>0</v>
      </c>
      <c r="K378" s="139">
        <v>0</v>
      </c>
      <c r="L378" s="139">
        <v>0</v>
      </c>
      <c r="M378" s="139">
        <v>0</v>
      </c>
      <c r="N378" s="139">
        <v>0</v>
      </c>
      <c r="O378" s="139">
        <v>0</v>
      </c>
      <c r="P378" s="139">
        <v>0</v>
      </c>
      <c r="Q378" s="139">
        <v>0</v>
      </c>
      <c r="R378" s="139">
        <v>0</v>
      </c>
      <c r="S378" s="139">
        <v>0</v>
      </c>
      <c r="T378" s="139">
        <v>0</v>
      </c>
      <c r="U378" s="139">
        <v>0</v>
      </c>
      <c r="V378" s="139">
        <v>0</v>
      </c>
      <c r="W378" s="139">
        <v>0</v>
      </c>
      <c r="X378" s="139">
        <v>0</v>
      </c>
      <c r="Y378" s="139">
        <v>0</v>
      </c>
      <c r="Z378" s="139">
        <v>0</v>
      </c>
      <c r="AA378" s="139">
        <v>0</v>
      </c>
      <c r="AB378" s="139">
        <v>0</v>
      </c>
      <c r="AC378" s="139">
        <v>0</v>
      </c>
      <c r="AD378" s="139">
        <v>0</v>
      </c>
      <c r="AE378" s="139">
        <v>0</v>
      </c>
      <c r="AF378" s="139">
        <v>0</v>
      </c>
      <c r="AG378" s="139">
        <v>0</v>
      </c>
      <c r="AH378" s="139">
        <v>0</v>
      </c>
      <c r="AI378" s="139">
        <v>0</v>
      </c>
      <c r="AJ378" s="139">
        <v>0</v>
      </c>
      <c r="AK378" s="139">
        <v>0</v>
      </c>
      <c r="AL378" s="139">
        <v>0</v>
      </c>
      <c r="AM378" s="139">
        <v>0</v>
      </c>
      <c r="AN378" s="139">
        <v>0</v>
      </c>
      <c r="AO378" s="139">
        <v>0</v>
      </c>
      <c r="AP378" s="139">
        <v>0</v>
      </c>
      <c r="AQ378" s="139">
        <v>24150</v>
      </c>
      <c r="AR378" s="139">
        <v>24150</v>
      </c>
      <c r="AS378" s="139">
        <v>24150</v>
      </c>
      <c r="AT378" s="139">
        <v>24150</v>
      </c>
      <c r="AU378" s="139">
        <v>24150</v>
      </c>
      <c r="AV378" s="140"/>
    </row>
    <row r="379" spans="2:48" ht="15.75" customHeight="1" x14ac:dyDescent="0.2">
      <c r="B379" s="136" t="s">
        <v>360</v>
      </c>
      <c r="C379" s="137">
        <v>0</v>
      </c>
      <c r="D379" s="138">
        <v>0</v>
      </c>
      <c r="E379" s="139">
        <v>0</v>
      </c>
      <c r="F379" s="139">
        <v>0</v>
      </c>
      <c r="G379" s="139">
        <v>0</v>
      </c>
      <c r="H379" s="139">
        <v>0</v>
      </c>
      <c r="I379" s="139">
        <v>0</v>
      </c>
      <c r="J379" s="139">
        <v>0</v>
      </c>
      <c r="K379" s="139">
        <v>0</v>
      </c>
      <c r="L379" s="139">
        <v>0</v>
      </c>
      <c r="M379" s="139">
        <v>0</v>
      </c>
      <c r="N379" s="139">
        <v>0</v>
      </c>
      <c r="O379" s="139">
        <v>0</v>
      </c>
      <c r="P379" s="139">
        <v>0</v>
      </c>
      <c r="Q379" s="139">
        <v>0</v>
      </c>
      <c r="R379" s="139">
        <v>0</v>
      </c>
      <c r="S379" s="139">
        <v>0</v>
      </c>
      <c r="T379" s="139">
        <v>0</v>
      </c>
      <c r="U379" s="139">
        <v>0</v>
      </c>
      <c r="V379" s="139">
        <v>0</v>
      </c>
      <c r="W379" s="139">
        <v>0</v>
      </c>
      <c r="X379" s="139">
        <v>0</v>
      </c>
      <c r="Y379" s="139">
        <v>0</v>
      </c>
      <c r="Z379" s="139">
        <v>0</v>
      </c>
      <c r="AA379" s="139">
        <v>0</v>
      </c>
      <c r="AB379" s="139">
        <v>0</v>
      </c>
      <c r="AC379" s="139">
        <v>0</v>
      </c>
      <c r="AD379" s="139">
        <v>0</v>
      </c>
      <c r="AE379" s="139">
        <v>0</v>
      </c>
      <c r="AF379" s="139">
        <v>0</v>
      </c>
      <c r="AG379" s="139">
        <v>0</v>
      </c>
      <c r="AH379" s="139">
        <v>0</v>
      </c>
      <c r="AI379" s="139">
        <v>0</v>
      </c>
      <c r="AJ379" s="139">
        <v>0</v>
      </c>
      <c r="AK379" s="139">
        <v>0</v>
      </c>
      <c r="AL379" s="139">
        <v>0</v>
      </c>
      <c r="AM379" s="139">
        <v>0</v>
      </c>
      <c r="AN379" s="139">
        <v>0</v>
      </c>
      <c r="AO379" s="139">
        <v>0</v>
      </c>
      <c r="AP379" s="139">
        <v>0</v>
      </c>
      <c r="AQ379" s="139">
        <v>9600</v>
      </c>
      <c r="AR379" s="139">
        <v>9600</v>
      </c>
      <c r="AS379" s="139">
        <v>9600</v>
      </c>
      <c r="AT379" s="139">
        <v>9600</v>
      </c>
      <c r="AU379" s="139">
        <v>9600</v>
      </c>
      <c r="AV379" s="140"/>
    </row>
    <row r="380" spans="2:48" ht="15.75" customHeight="1" x14ac:dyDescent="0.2">
      <c r="B380" s="136" t="s">
        <v>361</v>
      </c>
      <c r="C380" s="137">
        <v>0</v>
      </c>
      <c r="D380" s="138">
        <v>0</v>
      </c>
      <c r="E380" s="139">
        <v>0</v>
      </c>
      <c r="F380" s="139">
        <v>0</v>
      </c>
      <c r="G380" s="139">
        <v>0</v>
      </c>
      <c r="H380" s="139">
        <v>0</v>
      </c>
      <c r="I380" s="139">
        <v>0</v>
      </c>
      <c r="J380" s="139">
        <v>0</v>
      </c>
      <c r="K380" s="139">
        <v>0</v>
      </c>
      <c r="L380" s="139">
        <v>0</v>
      </c>
      <c r="M380" s="139">
        <v>0</v>
      </c>
      <c r="N380" s="139">
        <v>0</v>
      </c>
      <c r="O380" s="139">
        <v>0</v>
      </c>
      <c r="P380" s="139">
        <v>0</v>
      </c>
      <c r="Q380" s="139">
        <v>0</v>
      </c>
      <c r="R380" s="139">
        <v>0</v>
      </c>
      <c r="S380" s="139">
        <v>0</v>
      </c>
      <c r="T380" s="139">
        <v>0</v>
      </c>
      <c r="U380" s="139">
        <v>0</v>
      </c>
      <c r="V380" s="139">
        <v>0</v>
      </c>
      <c r="W380" s="139">
        <v>0</v>
      </c>
      <c r="X380" s="139">
        <v>0</v>
      </c>
      <c r="Y380" s="139">
        <v>0</v>
      </c>
      <c r="Z380" s="139">
        <v>0</v>
      </c>
      <c r="AA380" s="139">
        <v>0</v>
      </c>
      <c r="AB380" s="139">
        <v>0</v>
      </c>
      <c r="AC380" s="139">
        <v>0</v>
      </c>
      <c r="AD380" s="139">
        <v>0</v>
      </c>
      <c r="AE380" s="139">
        <v>0</v>
      </c>
      <c r="AF380" s="139">
        <v>0</v>
      </c>
      <c r="AG380" s="139">
        <v>0</v>
      </c>
      <c r="AH380" s="139">
        <v>0</v>
      </c>
      <c r="AI380" s="139">
        <v>0</v>
      </c>
      <c r="AJ380" s="139">
        <v>0</v>
      </c>
      <c r="AK380" s="139">
        <v>0</v>
      </c>
      <c r="AL380" s="139">
        <v>0</v>
      </c>
      <c r="AM380" s="139">
        <v>0</v>
      </c>
      <c r="AN380" s="139">
        <v>0</v>
      </c>
      <c r="AO380" s="139">
        <v>0</v>
      </c>
      <c r="AP380" s="139">
        <v>0</v>
      </c>
      <c r="AQ380" s="139">
        <v>9600</v>
      </c>
      <c r="AR380" s="139">
        <v>9600</v>
      </c>
      <c r="AS380" s="139">
        <v>9600</v>
      </c>
      <c r="AT380" s="139">
        <v>9600</v>
      </c>
      <c r="AU380" s="139">
        <v>9600</v>
      </c>
      <c r="AV380" s="140"/>
    </row>
    <row r="381" spans="2:48" ht="15.75" customHeight="1" x14ac:dyDescent="0.2">
      <c r="B381" s="136" t="s">
        <v>362</v>
      </c>
      <c r="C381" s="137">
        <v>0</v>
      </c>
      <c r="D381" s="138">
        <v>0</v>
      </c>
      <c r="E381" s="139">
        <v>0</v>
      </c>
      <c r="F381" s="139">
        <v>0</v>
      </c>
      <c r="G381" s="139">
        <v>0</v>
      </c>
      <c r="H381" s="139">
        <v>0</v>
      </c>
      <c r="I381" s="139">
        <v>0</v>
      </c>
      <c r="J381" s="139">
        <v>0</v>
      </c>
      <c r="K381" s="139">
        <v>0</v>
      </c>
      <c r="L381" s="139">
        <v>0</v>
      </c>
      <c r="M381" s="139">
        <v>0</v>
      </c>
      <c r="N381" s="139">
        <v>0</v>
      </c>
      <c r="O381" s="139">
        <v>0</v>
      </c>
      <c r="P381" s="139">
        <v>0</v>
      </c>
      <c r="Q381" s="139">
        <v>0</v>
      </c>
      <c r="R381" s="139">
        <v>0</v>
      </c>
      <c r="S381" s="139">
        <v>0</v>
      </c>
      <c r="T381" s="139">
        <v>0</v>
      </c>
      <c r="U381" s="139">
        <v>0</v>
      </c>
      <c r="V381" s="139">
        <v>0</v>
      </c>
      <c r="W381" s="139">
        <v>0</v>
      </c>
      <c r="X381" s="139">
        <v>0</v>
      </c>
      <c r="Y381" s="139">
        <v>0</v>
      </c>
      <c r="Z381" s="139">
        <v>0</v>
      </c>
      <c r="AA381" s="139">
        <v>0</v>
      </c>
      <c r="AB381" s="139">
        <v>0</v>
      </c>
      <c r="AC381" s="139">
        <v>0</v>
      </c>
      <c r="AD381" s="139">
        <v>0</v>
      </c>
      <c r="AE381" s="139">
        <v>0</v>
      </c>
      <c r="AF381" s="139">
        <v>0</v>
      </c>
      <c r="AG381" s="139">
        <v>0</v>
      </c>
      <c r="AH381" s="139">
        <v>0</v>
      </c>
      <c r="AI381" s="139">
        <v>0</v>
      </c>
      <c r="AJ381" s="139">
        <v>0</v>
      </c>
      <c r="AK381" s="139">
        <v>0</v>
      </c>
      <c r="AL381" s="139">
        <v>0</v>
      </c>
      <c r="AM381" s="139">
        <v>0</v>
      </c>
      <c r="AN381" s="139">
        <v>0</v>
      </c>
      <c r="AO381" s="139">
        <v>0</v>
      </c>
      <c r="AP381" s="139">
        <v>0</v>
      </c>
      <c r="AQ381" s="139">
        <v>9870</v>
      </c>
      <c r="AR381" s="139">
        <v>9870</v>
      </c>
      <c r="AS381" s="139">
        <v>9870</v>
      </c>
      <c r="AT381" s="139">
        <v>9870</v>
      </c>
      <c r="AU381" s="139">
        <v>9870</v>
      </c>
      <c r="AV381" s="140"/>
    </row>
    <row r="382" spans="2:48" ht="15.75" customHeight="1" x14ac:dyDescent="0.2">
      <c r="B382" s="136" t="s">
        <v>363</v>
      </c>
      <c r="C382" s="137">
        <v>0</v>
      </c>
      <c r="D382" s="138">
        <v>0</v>
      </c>
      <c r="E382" s="139">
        <v>0</v>
      </c>
      <c r="F382" s="139">
        <v>0</v>
      </c>
      <c r="G382" s="139">
        <v>0</v>
      </c>
      <c r="H382" s="139">
        <v>0</v>
      </c>
      <c r="I382" s="139">
        <v>0</v>
      </c>
      <c r="J382" s="139">
        <v>0</v>
      </c>
      <c r="K382" s="139">
        <v>0</v>
      </c>
      <c r="L382" s="139">
        <v>0</v>
      </c>
      <c r="M382" s="139">
        <v>0</v>
      </c>
      <c r="N382" s="139">
        <v>0</v>
      </c>
      <c r="O382" s="139">
        <v>0</v>
      </c>
      <c r="P382" s="139">
        <v>0</v>
      </c>
      <c r="Q382" s="139">
        <v>0</v>
      </c>
      <c r="R382" s="139">
        <v>0</v>
      </c>
      <c r="S382" s="139">
        <v>0</v>
      </c>
      <c r="T382" s="139">
        <v>0</v>
      </c>
      <c r="U382" s="139">
        <v>0</v>
      </c>
      <c r="V382" s="139">
        <v>0</v>
      </c>
      <c r="W382" s="139">
        <v>0</v>
      </c>
      <c r="X382" s="139">
        <v>0</v>
      </c>
      <c r="Y382" s="139">
        <v>0</v>
      </c>
      <c r="Z382" s="139">
        <v>0</v>
      </c>
      <c r="AA382" s="139">
        <v>0</v>
      </c>
      <c r="AB382" s="139">
        <v>0</v>
      </c>
      <c r="AC382" s="139">
        <v>0</v>
      </c>
      <c r="AD382" s="139">
        <v>0</v>
      </c>
      <c r="AE382" s="139">
        <v>0</v>
      </c>
      <c r="AF382" s="139">
        <v>0</v>
      </c>
      <c r="AG382" s="139">
        <v>0</v>
      </c>
      <c r="AH382" s="139">
        <v>0</v>
      </c>
      <c r="AI382" s="139">
        <v>0</v>
      </c>
      <c r="AJ382" s="139">
        <v>0</v>
      </c>
      <c r="AK382" s="139">
        <v>0</v>
      </c>
      <c r="AL382" s="139">
        <v>0</v>
      </c>
      <c r="AM382" s="139">
        <v>0</v>
      </c>
      <c r="AN382" s="139">
        <v>0</v>
      </c>
      <c r="AO382" s="139">
        <v>0</v>
      </c>
      <c r="AP382" s="139">
        <v>0</v>
      </c>
      <c r="AQ382" s="139">
        <v>57600</v>
      </c>
      <c r="AR382" s="139">
        <v>57600</v>
      </c>
      <c r="AS382" s="139">
        <v>57600</v>
      </c>
      <c r="AT382" s="139">
        <v>57600</v>
      </c>
      <c r="AU382" s="139">
        <v>57600</v>
      </c>
      <c r="AV382" s="140"/>
    </row>
    <row r="383" spans="2:48" ht="15.75" customHeight="1" x14ac:dyDescent="0.2">
      <c r="B383" s="136" t="s">
        <v>364</v>
      </c>
      <c r="C383" s="137">
        <v>0</v>
      </c>
      <c r="D383" s="138">
        <v>0</v>
      </c>
      <c r="E383" s="139">
        <v>0</v>
      </c>
      <c r="F383" s="139">
        <v>0</v>
      </c>
      <c r="G383" s="139">
        <v>0</v>
      </c>
      <c r="H383" s="139">
        <v>0</v>
      </c>
      <c r="I383" s="139">
        <v>0</v>
      </c>
      <c r="J383" s="139">
        <v>0</v>
      </c>
      <c r="K383" s="139">
        <v>0</v>
      </c>
      <c r="L383" s="139">
        <v>0</v>
      </c>
      <c r="M383" s="139">
        <v>0</v>
      </c>
      <c r="N383" s="139">
        <v>0</v>
      </c>
      <c r="O383" s="139">
        <v>0</v>
      </c>
      <c r="P383" s="139">
        <v>0</v>
      </c>
      <c r="Q383" s="139">
        <v>0</v>
      </c>
      <c r="R383" s="139">
        <v>0</v>
      </c>
      <c r="S383" s="139">
        <v>0</v>
      </c>
      <c r="T383" s="139">
        <v>0</v>
      </c>
      <c r="U383" s="139">
        <v>0</v>
      </c>
      <c r="V383" s="139">
        <v>0</v>
      </c>
      <c r="W383" s="139">
        <v>0</v>
      </c>
      <c r="X383" s="139">
        <v>0</v>
      </c>
      <c r="Y383" s="139">
        <v>0</v>
      </c>
      <c r="Z383" s="139">
        <v>0</v>
      </c>
      <c r="AA383" s="139">
        <v>0</v>
      </c>
      <c r="AB383" s="139">
        <v>0</v>
      </c>
      <c r="AC383" s="139">
        <v>0</v>
      </c>
      <c r="AD383" s="139">
        <v>0</v>
      </c>
      <c r="AE383" s="139">
        <v>0</v>
      </c>
      <c r="AF383" s="139">
        <v>0</v>
      </c>
      <c r="AG383" s="139">
        <v>0</v>
      </c>
      <c r="AH383" s="139">
        <v>0</v>
      </c>
      <c r="AI383" s="139">
        <v>0</v>
      </c>
      <c r="AJ383" s="139">
        <v>0</v>
      </c>
      <c r="AK383" s="139">
        <v>0</v>
      </c>
      <c r="AL383" s="139">
        <v>0</v>
      </c>
      <c r="AM383" s="139">
        <v>0</v>
      </c>
      <c r="AN383" s="139">
        <v>0</v>
      </c>
      <c r="AO383" s="139">
        <v>0</v>
      </c>
      <c r="AP383" s="139">
        <v>0</v>
      </c>
      <c r="AQ383" s="139">
        <v>29376</v>
      </c>
      <c r="AR383" s="139">
        <v>29376</v>
      </c>
      <c r="AS383" s="139">
        <v>29376</v>
      </c>
      <c r="AT383" s="139">
        <v>29376</v>
      </c>
      <c r="AU383" s="139">
        <v>29376</v>
      </c>
      <c r="AV383" s="140"/>
    </row>
    <row r="384" spans="2:48" ht="15.75" customHeight="1" x14ac:dyDescent="0.2">
      <c r="B384" s="136" t="s">
        <v>365</v>
      </c>
      <c r="C384" s="137">
        <v>0</v>
      </c>
      <c r="D384" s="138">
        <v>0</v>
      </c>
      <c r="E384" s="139">
        <v>0</v>
      </c>
      <c r="F384" s="139">
        <v>0</v>
      </c>
      <c r="G384" s="139">
        <v>0</v>
      </c>
      <c r="H384" s="139">
        <v>0</v>
      </c>
      <c r="I384" s="139">
        <v>0</v>
      </c>
      <c r="J384" s="139">
        <v>0</v>
      </c>
      <c r="K384" s="139">
        <v>0</v>
      </c>
      <c r="L384" s="139">
        <v>0</v>
      </c>
      <c r="M384" s="139">
        <v>0</v>
      </c>
      <c r="N384" s="139">
        <v>0</v>
      </c>
      <c r="O384" s="139">
        <v>0</v>
      </c>
      <c r="P384" s="139">
        <v>0</v>
      </c>
      <c r="Q384" s="139">
        <v>0</v>
      </c>
      <c r="R384" s="139">
        <v>0</v>
      </c>
      <c r="S384" s="139">
        <v>0</v>
      </c>
      <c r="T384" s="139">
        <v>0</v>
      </c>
      <c r="U384" s="139">
        <v>0</v>
      </c>
      <c r="V384" s="139">
        <v>0</v>
      </c>
      <c r="W384" s="139">
        <v>0</v>
      </c>
      <c r="X384" s="139">
        <v>0</v>
      </c>
      <c r="Y384" s="139">
        <v>0</v>
      </c>
      <c r="Z384" s="139">
        <v>0</v>
      </c>
      <c r="AA384" s="139">
        <v>0</v>
      </c>
      <c r="AB384" s="139">
        <v>0</v>
      </c>
      <c r="AC384" s="139">
        <v>0</v>
      </c>
      <c r="AD384" s="139">
        <v>0</v>
      </c>
      <c r="AE384" s="139">
        <v>0</v>
      </c>
      <c r="AF384" s="139">
        <v>0</v>
      </c>
      <c r="AG384" s="139">
        <v>0</v>
      </c>
      <c r="AH384" s="139">
        <v>0</v>
      </c>
      <c r="AI384" s="139">
        <v>0</v>
      </c>
      <c r="AJ384" s="139">
        <v>0</v>
      </c>
      <c r="AK384" s="139">
        <v>0</v>
      </c>
      <c r="AL384" s="139">
        <v>0</v>
      </c>
      <c r="AM384" s="139">
        <v>0</v>
      </c>
      <c r="AN384" s="139">
        <v>0</v>
      </c>
      <c r="AO384" s="139">
        <v>0</v>
      </c>
      <c r="AP384" s="139">
        <v>0</v>
      </c>
      <c r="AQ384" s="139">
        <v>10800</v>
      </c>
      <c r="AR384" s="139">
        <v>10800</v>
      </c>
      <c r="AS384" s="139">
        <v>10800</v>
      </c>
      <c r="AT384" s="139">
        <v>10800</v>
      </c>
      <c r="AU384" s="139">
        <v>10800</v>
      </c>
      <c r="AV384" s="140"/>
    </row>
    <row r="385" spans="2:48" ht="15.75" customHeight="1" x14ac:dyDescent="0.2">
      <c r="B385" s="136" t="s">
        <v>366</v>
      </c>
      <c r="C385" s="137">
        <v>0</v>
      </c>
      <c r="D385" s="138">
        <v>0</v>
      </c>
      <c r="E385" s="139">
        <v>0</v>
      </c>
      <c r="F385" s="139">
        <v>0</v>
      </c>
      <c r="G385" s="139">
        <v>0</v>
      </c>
      <c r="H385" s="139">
        <v>0</v>
      </c>
      <c r="I385" s="139">
        <v>0</v>
      </c>
      <c r="J385" s="139">
        <v>0</v>
      </c>
      <c r="K385" s="139">
        <v>0</v>
      </c>
      <c r="L385" s="139">
        <v>0</v>
      </c>
      <c r="M385" s="139">
        <v>0</v>
      </c>
      <c r="N385" s="139">
        <v>0</v>
      </c>
      <c r="O385" s="139">
        <v>0</v>
      </c>
      <c r="P385" s="139">
        <v>0</v>
      </c>
      <c r="Q385" s="139">
        <v>0</v>
      </c>
      <c r="R385" s="139">
        <v>0</v>
      </c>
      <c r="S385" s="139">
        <v>0</v>
      </c>
      <c r="T385" s="139">
        <v>0</v>
      </c>
      <c r="U385" s="139">
        <v>0</v>
      </c>
      <c r="V385" s="139">
        <v>0</v>
      </c>
      <c r="W385" s="139">
        <v>0</v>
      </c>
      <c r="X385" s="139">
        <v>0</v>
      </c>
      <c r="Y385" s="139">
        <v>0</v>
      </c>
      <c r="Z385" s="139">
        <v>0</v>
      </c>
      <c r="AA385" s="139">
        <v>0</v>
      </c>
      <c r="AB385" s="139">
        <v>0</v>
      </c>
      <c r="AC385" s="139">
        <v>0</v>
      </c>
      <c r="AD385" s="139">
        <v>0</v>
      </c>
      <c r="AE385" s="139">
        <v>0</v>
      </c>
      <c r="AF385" s="139">
        <v>0</v>
      </c>
      <c r="AG385" s="139">
        <v>0</v>
      </c>
      <c r="AH385" s="139">
        <v>0</v>
      </c>
      <c r="AI385" s="139">
        <v>0</v>
      </c>
      <c r="AJ385" s="139">
        <v>0</v>
      </c>
      <c r="AK385" s="139">
        <v>0</v>
      </c>
      <c r="AL385" s="139">
        <v>0</v>
      </c>
      <c r="AM385" s="139">
        <v>0</v>
      </c>
      <c r="AN385" s="139">
        <v>0</v>
      </c>
      <c r="AO385" s="139">
        <v>0</v>
      </c>
      <c r="AP385" s="139">
        <v>0</v>
      </c>
      <c r="AQ385" s="139">
        <v>25200</v>
      </c>
      <c r="AR385" s="139">
        <v>25200</v>
      </c>
      <c r="AS385" s="139">
        <v>25200</v>
      </c>
      <c r="AT385" s="139">
        <v>25200</v>
      </c>
      <c r="AU385" s="139">
        <v>25200</v>
      </c>
      <c r="AV385" s="140"/>
    </row>
    <row r="386" spans="2:48" ht="15.75" customHeight="1" x14ac:dyDescent="0.2">
      <c r="B386" s="136" t="s">
        <v>367</v>
      </c>
      <c r="C386" s="137">
        <v>0</v>
      </c>
      <c r="D386" s="138">
        <v>0</v>
      </c>
      <c r="E386" s="139">
        <v>0</v>
      </c>
      <c r="F386" s="139">
        <v>0</v>
      </c>
      <c r="G386" s="139">
        <v>0</v>
      </c>
      <c r="H386" s="139">
        <v>0</v>
      </c>
      <c r="I386" s="139">
        <v>0</v>
      </c>
      <c r="J386" s="139">
        <v>0</v>
      </c>
      <c r="K386" s="139">
        <v>0</v>
      </c>
      <c r="L386" s="139">
        <v>0</v>
      </c>
      <c r="M386" s="139">
        <v>0</v>
      </c>
      <c r="N386" s="139">
        <v>0</v>
      </c>
      <c r="O386" s="139">
        <v>0</v>
      </c>
      <c r="P386" s="139">
        <v>0</v>
      </c>
      <c r="Q386" s="139">
        <v>0</v>
      </c>
      <c r="R386" s="139">
        <v>0</v>
      </c>
      <c r="S386" s="139">
        <v>0</v>
      </c>
      <c r="T386" s="139">
        <v>0</v>
      </c>
      <c r="U386" s="139">
        <v>0</v>
      </c>
      <c r="V386" s="139">
        <v>0</v>
      </c>
      <c r="W386" s="139">
        <v>0</v>
      </c>
      <c r="X386" s="139">
        <v>0</v>
      </c>
      <c r="Y386" s="139">
        <v>0</v>
      </c>
      <c r="Z386" s="139">
        <v>0</v>
      </c>
      <c r="AA386" s="139">
        <v>0</v>
      </c>
      <c r="AB386" s="139">
        <v>0</v>
      </c>
      <c r="AC386" s="139">
        <v>0</v>
      </c>
      <c r="AD386" s="139">
        <v>0</v>
      </c>
      <c r="AE386" s="139">
        <v>0</v>
      </c>
      <c r="AF386" s="139">
        <v>0</v>
      </c>
      <c r="AG386" s="139">
        <v>0</v>
      </c>
      <c r="AH386" s="139">
        <v>0</v>
      </c>
      <c r="AI386" s="139">
        <v>0</v>
      </c>
      <c r="AJ386" s="139">
        <v>0</v>
      </c>
      <c r="AK386" s="139">
        <v>0</v>
      </c>
      <c r="AL386" s="139">
        <v>0</v>
      </c>
      <c r="AM386" s="139">
        <v>0</v>
      </c>
      <c r="AN386" s="139">
        <v>0</v>
      </c>
      <c r="AO386" s="139">
        <v>0</v>
      </c>
      <c r="AP386" s="139">
        <v>0</v>
      </c>
      <c r="AQ386" s="139">
        <v>19800</v>
      </c>
      <c r="AR386" s="139">
        <v>19800</v>
      </c>
      <c r="AS386" s="139">
        <v>19800</v>
      </c>
      <c r="AT386" s="139">
        <v>19800</v>
      </c>
      <c r="AU386" s="139">
        <v>19800</v>
      </c>
      <c r="AV386" s="140"/>
    </row>
    <row r="387" spans="2:48" ht="15.75" customHeight="1" x14ac:dyDescent="0.2">
      <c r="B387" s="136" t="s">
        <v>368</v>
      </c>
      <c r="C387" s="137">
        <v>0</v>
      </c>
      <c r="D387" s="138">
        <v>0</v>
      </c>
      <c r="E387" s="139">
        <v>0</v>
      </c>
      <c r="F387" s="139">
        <v>0</v>
      </c>
      <c r="G387" s="139">
        <v>0</v>
      </c>
      <c r="H387" s="139">
        <v>0</v>
      </c>
      <c r="I387" s="139">
        <v>0</v>
      </c>
      <c r="J387" s="139">
        <v>0</v>
      </c>
      <c r="K387" s="139">
        <v>0</v>
      </c>
      <c r="L387" s="139">
        <v>0</v>
      </c>
      <c r="M387" s="139">
        <v>0</v>
      </c>
      <c r="N387" s="139">
        <v>0</v>
      </c>
      <c r="O387" s="139">
        <v>0</v>
      </c>
      <c r="P387" s="139">
        <v>0</v>
      </c>
      <c r="Q387" s="139">
        <v>0</v>
      </c>
      <c r="R387" s="139">
        <v>0</v>
      </c>
      <c r="S387" s="139">
        <v>0</v>
      </c>
      <c r="T387" s="139">
        <v>0</v>
      </c>
      <c r="U387" s="139">
        <v>0</v>
      </c>
      <c r="V387" s="139">
        <v>0</v>
      </c>
      <c r="W387" s="139">
        <v>0</v>
      </c>
      <c r="X387" s="139">
        <v>0</v>
      </c>
      <c r="Y387" s="139">
        <v>0</v>
      </c>
      <c r="Z387" s="139">
        <v>0</v>
      </c>
      <c r="AA387" s="139">
        <v>0</v>
      </c>
      <c r="AB387" s="139">
        <v>0</v>
      </c>
      <c r="AC387" s="139">
        <v>0</v>
      </c>
      <c r="AD387" s="139">
        <v>0</v>
      </c>
      <c r="AE387" s="139">
        <v>0</v>
      </c>
      <c r="AF387" s="139">
        <v>0</v>
      </c>
      <c r="AG387" s="139">
        <v>0</v>
      </c>
      <c r="AH387" s="139">
        <v>0</v>
      </c>
      <c r="AI387" s="139">
        <v>0</v>
      </c>
      <c r="AJ387" s="139">
        <v>0</v>
      </c>
      <c r="AK387" s="139">
        <v>0</v>
      </c>
      <c r="AL387" s="139">
        <v>0</v>
      </c>
      <c r="AM387" s="139">
        <v>0</v>
      </c>
      <c r="AN387" s="139">
        <v>0</v>
      </c>
      <c r="AO387" s="139">
        <v>0</v>
      </c>
      <c r="AP387" s="139">
        <v>0</v>
      </c>
      <c r="AQ387" s="139">
        <v>12000</v>
      </c>
      <c r="AR387" s="139">
        <v>12000</v>
      </c>
      <c r="AS387" s="139">
        <v>12000</v>
      </c>
      <c r="AT387" s="139">
        <v>12000</v>
      </c>
      <c r="AU387" s="139">
        <v>12000</v>
      </c>
      <c r="AV387" s="140"/>
    </row>
    <row r="388" spans="2:48" ht="15.75" customHeight="1" x14ac:dyDescent="0.2">
      <c r="B388" s="136" t="s">
        <v>369</v>
      </c>
      <c r="C388" s="137">
        <v>0</v>
      </c>
      <c r="D388" s="138">
        <v>0</v>
      </c>
      <c r="E388" s="139">
        <v>0</v>
      </c>
      <c r="F388" s="139">
        <v>0</v>
      </c>
      <c r="G388" s="139">
        <v>0</v>
      </c>
      <c r="H388" s="139">
        <v>0</v>
      </c>
      <c r="I388" s="139">
        <v>0</v>
      </c>
      <c r="J388" s="139">
        <v>0</v>
      </c>
      <c r="K388" s="139">
        <v>0</v>
      </c>
      <c r="L388" s="139">
        <v>0</v>
      </c>
      <c r="M388" s="139">
        <v>0</v>
      </c>
      <c r="N388" s="139">
        <v>0</v>
      </c>
      <c r="O388" s="139">
        <v>0</v>
      </c>
      <c r="P388" s="139">
        <v>0</v>
      </c>
      <c r="Q388" s="139">
        <v>0</v>
      </c>
      <c r="R388" s="139">
        <v>0</v>
      </c>
      <c r="S388" s="139">
        <v>0</v>
      </c>
      <c r="T388" s="139">
        <v>0</v>
      </c>
      <c r="U388" s="139">
        <v>0</v>
      </c>
      <c r="V388" s="139">
        <v>0</v>
      </c>
      <c r="W388" s="139">
        <v>0</v>
      </c>
      <c r="X388" s="139">
        <v>0</v>
      </c>
      <c r="Y388" s="139">
        <v>0</v>
      </c>
      <c r="Z388" s="139">
        <v>0</v>
      </c>
      <c r="AA388" s="139">
        <v>0</v>
      </c>
      <c r="AB388" s="139">
        <v>0</v>
      </c>
      <c r="AC388" s="139">
        <v>0</v>
      </c>
      <c r="AD388" s="139">
        <v>0</v>
      </c>
      <c r="AE388" s="139">
        <v>0</v>
      </c>
      <c r="AF388" s="139">
        <v>0</v>
      </c>
      <c r="AG388" s="139">
        <v>0</v>
      </c>
      <c r="AH388" s="139">
        <v>0</v>
      </c>
      <c r="AI388" s="139">
        <v>0</v>
      </c>
      <c r="AJ388" s="139">
        <v>0</v>
      </c>
      <c r="AK388" s="139">
        <v>0</v>
      </c>
      <c r="AL388" s="139">
        <v>0</v>
      </c>
      <c r="AM388" s="139">
        <v>0</v>
      </c>
      <c r="AN388" s="139">
        <v>0</v>
      </c>
      <c r="AO388" s="139">
        <v>0</v>
      </c>
      <c r="AP388" s="139">
        <v>0</v>
      </c>
      <c r="AQ388" s="139">
        <v>9600</v>
      </c>
      <c r="AR388" s="139">
        <v>9600</v>
      </c>
      <c r="AS388" s="139">
        <v>9600</v>
      </c>
      <c r="AT388" s="139">
        <v>9600</v>
      </c>
      <c r="AU388" s="139">
        <v>9600</v>
      </c>
      <c r="AV388" s="140"/>
    </row>
    <row r="389" spans="2:48" ht="15.75" customHeight="1" x14ac:dyDescent="0.2">
      <c r="B389" s="136" t="s">
        <v>370</v>
      </c>
      <c r="C389" s="137">
        <v>0</v>
      </c>
      <c r="D389" s="138">
        <v>0</v>
      </c>
      <c r="E389" s="139">
        <v>0</v>
      </c>
      <c r="F389" s="139">
        <v>0</v>
      </c>
      <c r="G389" s="139">
        <v>0</v>
      </c>
      <c r="H389" s="139">
        <v>0</v>
      </c>
      <c r="I389" s="139">
        <v>0</v>
      </c>
      <c r="J389" s="139">
        <v>0</v>
      </c>
      <c r="K389" s="139">
        <v>0</v>
      </c>
      <c r="L389" s="139">
        <v>0</v>
      </c>
      <c r="M389" s="139">
        <v>0</v>
      </c>
      <c r="N389" s="139">
        <v>0</v>
      </c>
      <c r="O389" s="139">
        <v>0</v>
      </c>
      <c r="P389" s="139">
        <v>0</v>
      </c>
      <c r="Q389" s="139">
        <v>0</v>
      </c>
      <c r="R389" s="139">
        <v>0</v>
      </c>
      <c r="S389" s="139">
        <v>0</v>
      </c>
      <c r="T389" s="139">
        <v>0</v>
      </c>
      <c r="U389" s="139">
        <v>0</v>
      </c>
      <c r="V389" s="139">
        <v>0</v>
      </c>
      <c r="W389" s="139">
        <v>0</v>
      </c>
      <c r="X389" s="139">
        <v>0</v>
      </c>
      <c r="Y389" s="139">
        <v>0</v>
      </c>
      <c r="Z389" s="139">
        <v>0</v>
      </c>
      <c r="AA389" s="139">
        <v>0</v>
      </c>
      <c r="AB389" s="139">
        <v>0</v>
      </c>
      <c r="AC389" s="139">
        <v>0</v>
      </c>
      <c r="AD389" s="139">
        <v>0</v>
      </c>
      <c r="AE389" s="139">
        <v>0</v>
      </c>
      <c r="AF389" s="139">
        <v>0</v>
      </c>
      <c r="AG389" s="139">
        <v>0</v>
      </c>
      <c r="AH389" s="139">
        <v>0</v>
      </c>
      <c r="AI389" s="139">
        <v>0</v>
      </c>
      <c r="AJ389" s="139">
        <v>0</v>
      </c>
      <c r="AK389" s="139">
        <v>0</v>
      </c>
      <c r="AL389" s="139">
        <v>0</v>
      </c>
      <c r="AM389" s="139">
        <v>0</v>
      </c>
      <c r="AN389" s="139">
        <v>0</v>
      </c>
      <c r="AO389" s="139">
        <v>0</v>
      </c>
      <c r="AP389" s="139">
        <v>0</v>
      </c>
      <c r="AQ389" s="139">
        <v>21000</v>
      </c>
      <c r="AR389" s="139">
        <v>21000</v>
      </c>
      <c r="AS389" s="139">
        <v>21000</v>
      </c>
      <c r="AT389" s="139">
        <v>21000</v>
      </c>
      <c r="AU389" s="139">
        <v>21000</v>
      </c>
      <c r="AV389" s="140"/>
    </row>
    <row r="390" spans="2:48" ht="15.75" customHeight="1" x14ac:dyDescent="0.2">
      <c r="B390" s="136" t="s">
        <v>371</v>
      </c>
      <c r="C390" s="137">
        <v>0</v>
      </c>
      <c r="D390" s="138">
        <v>0</v>
      </c>
      <c r="E390" s="139">
        <v>0</v>
      </c>
      <c r="F390" s="139">
        <v>0</v>
      </c>
      <c r="G390" s="139">
        <v>0</v>
      </c>
      <c r="H390" s="139">
        <v>0</v>
      </c>
      <c r="I390" s="139">
        <v>0</v>
      </c>
      <c r="J390" s="139">
        <v>0</v>
      </c>
      <c r="K390" s="139">
        <v>0</v>
      </c>
      <c r="L390" s="139">
        <v>0</v>
      </c>
      <c r="M390" s="139">
        <v>0</v>
      </c>
      <c r="N390" s="139">
        <v>0</v>
      </c>
      <c r="O390" s="139">
        <v>0</v>
      </c>
      <c r="P390" s="139">
        <v>0</v>
      </c>
      <c r="Q390" s="139">
        <v>0</v>
      </c>
      <c r="R390" s="139">
        <v>0</v>
      </c>
      <c r="S390" s="139">
        <v>0</v>
      </c>
      <c r="T390" s="139">
        <v>0</v>
      </c>
      <c r="U390" s="139">
        <v>0</v>
      </c>
      <c r="V390" s="139">
        <v>0</v>
      </c>
      <c r="W390" s="139">
        <v>0</v>
      </c>
      <c r="X390" s="139">
        <v>0</v>
      </c>
      <c r="Y390" s="139">
        <v>0</v>
      </c>
      <c r="Z390" s="139">
        <v>0</v>
      </c>
      <c r="AA390" s="139">
        <v>0</v>
      </c>
      <c r="AB390" s="139">
        <v>0</v>
      </c>
      <c r="AC390" s="139">
        <v>0</v>
      </c>
      <c r="AD390" s="139">
        <v>0</v>
      </c>
      <c r="AE390" s="139">
        <v>0</v>
      </c>
      <c r="AF390" s="139">
        <v>0</v>
      </c>
      <c r="AG390" s="139">
        <v>0</v>
      </c>
      <c r="AH390" s="139">
        <v>0</v>
      </c>
      <c r="AI390" s="139">
        <v>0</v>
      </c>
      <c r="AJ390" s="139">
        <v>0</v>
      </c>
      <c r="AK390" s="139">
        <v>0</v>
      </c>
      <c r="AL390" s="139">
        <v>0</v>
      </c>
      <c r="AM390" s="139">
        <v>0</v>
      </c>
      <c r="AN390" s="139">
        <v>0</v>
      </c>
      <c r="AO390" s="139">
        <v>0</v>
      </c>
      <c r="AP390" s="139">
        <v>0</v>
      </c>
      <c r="AQ390" s="139">
        <v>26880</v>
      </c>
      <c r="AR390" s="139">
        <v>26880</v>
      </c>
      <c r="AS390" s="139">
        <v>26880</v>
      </c>
      <c r="AT390" s="139">
        <v>26880</v>
      </c>
      <c r="AU390" s="139">
        <v>26880</v>
      </c>
      <c r="AV390" s="140"/>
    </row>
    <row r="391" spans="2:48" ht="15.75" customHeight="1" x14ac:dyDescent="0.2">
      <c r="B391" s="136" t="s">
        <v>372</v>
      </c>
      <c r="C391" s="137">
        <v>0</v>
      </c>
      <c r="D391" s="138">
        <v>0</v>
      </c>
      <c r="E391" s="139">
        <v>0</v>
      </c>
      <c r="F391" s="139">
        <v>0</v>
      </c>
      <c r="G391" s="139">
        <v>0</v>
      </c>
      <c r="H391" s="139">
        <v>0</v>
      </c>
      <c r="I391" s="139">
        <v>0</v>
      </c>
      <c r="J391" s="139">
        <v>0</v>
      </c>
      <c r="K391" s="139">
        <v>0</v>
      </c>
      <c r="L391" s="139">
        <v>0</v>
      </c>
      <c r="M391" s="139">
        <v>0</v>
      </c>
      <c r="N391" s="139">
        <v>0</v>
      </c>
      <c r="O391" s="139">
        <v>0</v>
      </c>
      <c r="P391" s="139">
        <v>0</v>
      </c>
      <c r="Q391" s="139">
        <v>0</v>
      </c>
      <c r="R391" s="139">
        <v>0</v>
      </c>
      <c r="S391" s="139">
        <v>0</v>
      </c>
      <c r="T391" s="139">
        <v>0</v>
      </c>
      <c r="U391" s="139">
        <v>0</v>
      </c>
      <c r="V391" s="139">
        <v>0</v>
      </c>
      <c r="W391" s="139">
        <v>0</v>
      </c>
      <c r="X391" s="139">
        <v>0</v>
      </c>
      <c r="Y391" s="139">
        <v>0</v>
      </c>
      <c r="Z391" s="139">
        <v>0</v>
      </c>
      <c r="AA391" s="139">
        <v>0</v>
      </c>
      <c r="AB391" s="139">
        <v>0</v>
      </c>
      <c r="AC391" s="139">
        <v>0</v>
      </c>
      <c r="AD391" s="139">
        <v>0</v>
      </c>
      <c r="AE391" s="139">
        <v>0</v>
      </c>
      <c r="AF391" s="139">
        <v>0</v>
      </c>
      <c r="AG391" s="139">
        <v>0</v>
      </c>
      <c r="AH391" s="139">
        <v>0</v>
      </c>
      <c r="AI391" s="139">
        <v>0</v>
      </c>
      <c r="AJ391" s="139">
        <v>0</v>
      </c>
      <c r="AK391" s="139">
        <v>0</v>
      </c>
      <c r="AL391" s="139">
        <v>0</v>
      </c>
      <c r="AM391" s="139">
        <v>0</v>
      </c>
      <c r="AN391" s="139">
        <v>0</v>
      </c>
      <c r="AO391" s="139">
        <v>0</v>
      </c>
      <c r="AP391" s="139">
        <v>0</v>
      </c>
      <c r="AQ391" s="139">
        <v>76800</v>
      </c>
      <c r="AR391" s="139">
        <v>76800</v>
      </c>
      <c r="AS391" s="139">
        <v>76800</v>
      </c>
      <c r="AT391" s="139">
        <v>76800</v>
      </c>
      <c r="AU391" s="139">
        <v>76800</v>
      </c>
      <c r="AV391" s="140"/>
    </row>
    <row r="392" spans="2:48" ht="15.75" customHeight="1" x14ac:dyDescent="0.2">
      <c r="B392" s="136" t="s">
        <v>373</v>
      </c>
      <c r="C392" s="137">
        <v>0</v>
      </c>
      <c r="D392" s="138">
        <v>0</v>
      </c>
      <c r="E392" s="139">
        <v>0</v>
      </c>
      <c r="F392" s="139">
        <v>0</v>
      </c>
      <c r="G392" s="139">
        <v>0</v>
      </c>
      <c r="H392" s="139">
        <v>0</v>
      </c>
      <c r="I392" s="139">
        <v>0</v>
      </c>
      <c r="J392" s="139">
        <v>0</v>
      </c>
      <c r="K392" s="139">
        <v>0</v>
      </c>
      <c r="L392" s="139">
        <v>0</v>
      </c>
      <c r="M392" s="139">
        <v>0</v>
      </c>
      <c r="N392" s="139">
        <v>0</v>
      </c>
      <c r="O392" s="139">
        <v>0</v>
      </c>
      <c r="P392" s="139">
        <v>0</v>
      </c>
      <c r="Q392" s="139">
        <v>0</v>
      </c>
      <c r="R392" s="139">
        <v>0</v>
      </c>
      <c r="S392" s="139">
        <v>0</v>
      </c>
      <c r="T392" s="139">
        <v>0</v>
      </c>
      <c r="U392" s="139">
        <v>0</v>
      </c>
      <c r="V392" s="139">
        <v>0</v>
      </c>
      <c r="W392" s="139">
        <v>0</v>
      </c>
      <c r="X392" s="139">
        <v>0</v>
      </c>
      <c r="Y392" s="139">
        <v>0</v>
      </c>
      <c r="Z392" s="139">
        <v>0</v>
      </c>
      <c r="AA392" s="139">
        <v>0</v>
      </c>
      <c r="AB392" s="139">
        <v>0</v>
      </c>
      <c r="AC392" s="139">
        <v>0</v>
      </c>
      <c r="AD392" s="139">
        <v>0</v>
      </c>
      <c r="AE392" s="139">
        <v>0</v>
      </c>
      <c r="AF392" s="139">
        <v>0</v>
      </c>
      <c r="AG392" s="139">
        <v>0</v>
      </c>
      <c r="AH392" s="139">
        <v>0</v>
      </c>
      <c r="AI392" s="139">
        <v>0</v>
      </c>
      <c r="AJ392" s="139">
        <v>0</v>
      </c>
      <c r="AK392" s="139">
        <v>0</v>
      </c>
      <c r="AL392" s="139">
        <v>0</v>
      </c>
      <c r="AM392" s="139">
        <v>0</v>
      </c>
      <c r="AN392" s="139">
        <v>0</v>
      </c>
      <c r="AO392" s="139">
        <v>0</v>
      </c>
      <c r="AP392" s="139">
        <v>0</v>
      </c>
      <c r="AQ392" s="139">
        <v>9600</v>
      </c>
      <c r="AR392" s="139">
        <v>9600</v>
      </c>
      <c r="AS392" s="139">
        <v>9600</v>
      </c>
      <c r="AT392" s="139">
        <v>9600</v>
      </c>
      <c r="AU392" s="139">
        <v>9600</v>
      </c>
      <c r="AV392" s="140"/>
    </row>
    <row r="393" spans="2:48" ht="15.75" customHeight="1" x14ac:dyDescent="0.2">
      <c r="B393" s="136" t="s">
        <v>374</v>
      </c>
      <c r="C393" s="137">
        <v>0</v>
      </c>
      <c r="D393" s="138">
        <v>0</v>
      </c>
      <c r="E393" s="139">
        <v>0</v>
      </c>
      <c r="F393" s="139">
        <v>0</v>
      </c>
      <c r="G393" s="139">
        <v>0</v>
      </c>
      <c r="H393" s="139">
        <v>0</v>
      </c>
      <c r="I393" s="139">
        <v>0</v>
      </c>
      <c r="J393" s="139">
        <v>0</v>
      </c>
      <c r="K393" s="139">
        <v>0</v>
      </c>
      <c r="L393" s="139">
        <v>0</v>
      </c>
      <c r="M393" s="139">
        <v>0</v>
      </c>
      <c r="N393" s="139">
        <v>0</v>
      </c>
      <c r="O393" s="139">
        <v>0</v>
      </c>
      <c r="P393" s="139">
        <v>0</v>
      </c>
      <c r="Q393" s="139">
        <v>0</v>
      </c>
      <c r="R393" s="139">
        <v>0</v>
      </c>
      <c r="S393" s="139">
        <v>0</v>
      </c>
      <c r="T393" s="139">
        <v>0</v>
      </c>
      <c r="U393" s="139">
        <v>0</v>
      </c>
      <c r="V393" s="139">
        <v>0</v>
      </c>
      <c r="W393" s="139">
        <v>0</v>
      </c>
      <c r="X393" s="139">
        <v>0</v>
      </c>
      <c r="Y393" s="139">
        <v>0</v>
      </c>
      <c r="Z393" s="139">
        <v>0</v>
      </c>
      <c r="AA393" s="139">
        <v>0</v>
      </c>
      <c r="AB393" s="139">
        <v>0</v>
      </c>
      <c r="AC393" s="139">
        <v>0</v>
      </c>
      <c r="AD393" s="139">
        <v>0</v>
      </c>
      <c r="AE393" s="139">
        <v>0</v>
      </c>
      <c r="AF393" s="139">
        <v>0</v>
      </c>
      <c r="AG393" s="139">
        <v>0</v>
      </c>
      <c r="AH393" s="139">
        <v>0</v>
      </c>
      <c r="AI393" s="139">
        <v>0</v>
      </c>
      <c r="AJ393" s="139">
        <v>0</v>
      </c>
      <c r="AK393" s="139">
        <v>0</v>
      </c>
      <c r="AL393" s="139">
        <v>0</v>
      </c>
      <c r="AM393" s="139">
        <v>0</v>
      </c>
      <c r="AN393" s="139">
        <v>0</v>
      </c>
      <c r="AO393" s="139">
        <v>0</v>
      </c>
      <c r="AP393" s="139">
        <v>0</v>
      </c>
      <c r="AQ393" s="139">
        <v>0</v>
      </c>
      <c r="AR393" s="139">
        <v>9600</v>
      </c>
      <c r="AS393" s="139">
        <v>9600</v>
      </c>
      <c r="AT393" s="139">
        <v>9600</v>
      </c>
      <c r="AU393" s="139">
        <v>9600</v>
      </c>
      <c r="AV393" s="140"/>
    </row>
    <row r="394" spans="2:48" ht="15.75" customHeight="1" x14ac:dyDescent="0.2">
      <c r="B394" s="136" t="s">
        <v>375</v>
      </c>
      <c r="C394" s="137">
        <v>0</v>
      </c>
      <c r="D394" s="138">
        <v>0</v>
      </c>
      <c r="E394" s="139">
        <v>0</v>
      </c>
      <c r="F394" s="139">
        <v>0</v>
      </c>
      <c r="G394" s="139">
        <v>0</v>
      </c>
      <c r="H394" s="139">
        <v>0</v>
      </c>
      <c r="I394" s="139">
        <v>0</v>
      </c>
      <c r="J394" s="139">
        <v>0</v>
      </c>
      <c r="K394" s="139">
        <v>0</v>
      </c>
      <c r="L394" s="139">
        <v>0</v>
      </c>
      <c r="M394" s="139">
        <v>0</v>
      </c>
      <c r="N394" s="139">
        <v>0</v>
      </c>
      <c r="O394" s="139">
        <v>0</v>
      </c>
      <c r="P394" s="139">
        <v>0</v>
      </c>
      <c r="Q394" s="139">
        <v>0</v>
      </c>
      <c r="R394" s="139">
        <v>0</v>
      </c>
      <c r="S394" s="139">
        <v>0</v>
      </c>
      <c r="T394" s="139">
        <v>0</v>
      </c>
      <c r="U394" s="139">
        <v>0</v>
      </c>
      <c r="V394" s="139">
        <v>0</v>
      </c>
      <c r="W394" s="139">
        <v>0</v>
      </c>
      <c r="X394" s="139">
        <v>0</v>
      </c>
      <c r="Y394" s="139">
        <v>0</v>
      </c>
      <c r="Z394" s="139">
        <v>0</v>
      </c>
      <c r="AA394" s="139">
        <v>0</v>
      </c>
      <c r="AB394" s="139">
        <v>0</v>
      </c>
      <c r="AC394" s="139">
        <v>0</v>
      </c>
      <c r="AD394" s="139">
        <v>0</v>
      </c>
      <c r="AE394" s="139">
        <v>0</v>
      </c>
      <c r="AF394" s="139">
        <v>0</v>
      </c>
      <c r="AG394" s="139">
        <v>0</v>
      </c>
      <c r="AH394" s="139">
        <v>0</v>
      </c>
      <c r="AI394" s="139">
        <v>0</v>
      </c>
      <c r="AJ394" s="139">
        <v>0</v>
      </c>
      <c r="AK394" s="139">
        <v>0</v>
      </c>
      <c r="AL394" s="139">
        <v>0</v>
      </c>
      <c r="AM394" s="139">
        <v>0</v>
      </c>
      <c r="AN394" s="139">
        <v>0</v>
      </c>
      <c r="AO394" s="139">
        <v>0</v>
      </c>
      <c r="AP394" s="139">
        <v>0</v>
      </c>
      <c r="AQ394" s="139">
        <v>0</v>
      </c>
      <c r="AR394" s="139">
        <v>13872</v>
      </c>
      <c r="AS394" s="139">
        <v>13872</v>
      </c>
      <c r="AT394" s="139">
        <v>13872</v>
      </c>
      <c r="AU394" s="139">
        <v>13872</v>
      </c>
      <c r="AV394" s="140"/>
    </row>
    <row r="395" spans="2:48" ht="15.75" customHeight="1" x14ac:dyDescent="0.2">
      <c r="B395" s="136" t="s">
        <v>376</v>
      </c>
      <c r="C395" s="137">
        <v>0</v>
      </c>
      <c r="D395" s="138">
        <v>0</v>
      </c>
      <c r="E395" s="139">
        <v>0</v>
      </c>
      <c r="F395" s="139">
        <v>0</v>
      </c>
      <c r="G395" s="139">
        <v>0</v>
      </c>
      <c r="H395" s="139">
        <v>0</v>
      </c>
      <c r="I395" s="139">
        <v>0</v>
      </c>
      <c r="J395" s="139">
        <v>0</v>
      </c>
      <c r="K395" s="139">
        <v>0</v>
      </c>
      <c r="L395" s="139">
        <v>0</v>
      </c>
      <c r="M395" s="139">
        <v>0</v>
      </c>
      <c r="N395" s="139">
        <v>0</v>
      </c>
      <c r="O395" s="139">
        <v>0</v>
      </c>
      <c r="P395" s="139">
        <v>0</v>
      </c>
      <c r="Q395" s="139">
        <v>0</v>
      </c>
      <c r="R395" s="139">
        <v>0</v>
      </c>
      <c r="S395" s="139">
        <v>0</v>
      </c>
      <c r="T395" s="139">
        <v>0</v>
      </c>
      <c r="U395" s="139">
        <v>0</v>
      </c>
      <c r="V395" s="139">
        <v>0</v>
      </c>
      <c r="W395" s="139">
        <v>0</v>
      </c>
      <c r="X395" s="139">
        <v>0</v>
      </c>
      <c r="Y395" s="139">
        <v>0</v>
      </c>
      <c r="Z395" s="139">
        <v>0</v>
      </c>
      <c r="AA395" s="139">
        <v>0</v>
      </c>
      <c r="AB395" s="139">
        <v>0</v>
      </c>
      <c r="AC395" s="139">
        <v>0</v>
      </c>
      <c r="AD395" s="139">
        <v>0</v>
      </c>
      <c r="AE395" s="139">
        <v>0</v>
      </c>
      <c r="AF395" s="139">
        <v>0</v>
      </c>
      <c r="AG395" s="139">
        <v>0</v>
      </c>
      <c r="AH395" s="139">
        <v>0</v>
      </c>
      <c r="AI395" s="139">
        <v>0</v>
      </c>
      <c r="AJ395" s="139">
        <v>0</v>
      </c>
      <c r="AK395" s="139">
        <v>0</v>
      </c>
      <c r="AL395" s="139">
        <v>0</v>
      </c>
      <c r="AM395" s="139">
        <v>0</v>
      </c>
      <c r="AN395" s="139">
        <v>0</v>
      </c>
      <c r="AO395" s="139">
        <v>0</v>
      </c>
      <c r="AP395" s="139">
        <v>0</v>
      </c>
      <c r="AQ395" s="139">
        <v>0</v>
      </c>
      <c r="AR395" s="139">
        <v>33000</v>
      </c>
      <c r="AS395" s="139">
        <v>33000</v>
      </c>
      <c r="AT395" s="139">
        <v>33000</v>
      </c>
      <c r="AU395" s="139">
        <v>33000</v>
      </c>
      <c r="AV395" s="140"/>
    </row>
    <row r="396" spans="2:48" ht="15.75" customHeight="1" x14ac:dyDescent="0.2">
      <c r="B396" s="136" t="s">
        <v>377</v>
      </c>
      <c r="C396" s="137">
        <v>0</v>
      </c>
      <c r="D396" s="138">
        <v>0</v>
      </c>
      <c r="E396" s="139">
        <v>0</v>
      </c>
      <c r="F396" s="139">
        <v>0</v>
      </c>
      <c r="G396" s="139">
        <v>0</v>
      </c>
      <c r="H396" s="139">
        <v>0</v>
      </c>
      <c r="I396" s="139">
        <v>0</v>
      </c>
      <c r="J396" s="139">
        <v>0</v>
      </c>
      <c r="K396" s="139">
        <v>0</v>
      </c>
      <c r="L396" s="139">
        <v>0</v>
      </c>
      <c r="M396" s="139">
        <v>0</v>
      </c>
      <c r="N396" s="139">
        <v>0</v>
      </c>
      <c r="O396" s="139">
        <v>0</v>
      </c>
      <c r="P396" s="139">
        <v>0</v>
      </c>
      <c r="Q396" s="139">
        <v>0</v>
      </c>
      <c r="R396" s="139">
        <v>0</v>
      </c>
      <c r="S396" s="139">
        <v>0</v>
      </c>
      <c r="T396" s="139">
        <v>0</v>
      </c>
      <c r="U396" s="139">
        <v>0</v>
      </c>
      <c r="V396" s="139">
        <v>0</v>
      </c>
      <c r="W396" s="139">
        <v>0</v>
      </c>
      <c r="X396" s="139">
        <v>0</v>
      </c>
      <c r="Y396" s="139">
        <v>0</v>
      </c>
      <c r="Z396" s="139">
        <v>0</v>
      </c>
      <c r="AA396" s="139">
        <v>0</v>
      </c>
      <c r="AB396" s="139">
        <v>0</v>
      </c>
      <c r="AC396" s="139">
        <v>0</v>
      </c>
      <c r="AD396" s="139">
        <v>0</v>
      </c>
      <c r="AE396" s="139">
        <v>0</v>
      </c>
      <c r="AF396" s="139">
        <v>0</v>
      </c>
      <c r="AG396" s="139">
        <v>0</v>
      </c>
      <c r="AH396" s="139">
        <v>0</v>
      </c>
      <c r="AI396" s="139">
        <v>0</v>
      </c>
      <c r="AJ396" s="139">
        <v>0</v>
      </c>
      <c r="AK396" s="139">
        <v>0</v>
      </c>
      <c r="AL396" s="139">
        <v>0</v>
      </c>
      <c r="AM396" s="139">
        <v>0</v>
      </c>
      <c r="AN396" s="139">
        <v>0</v>
      </c>
      <c r="AO396" s="139">
        <v>0</v>
      </c>
      <c r="AP396" s="139">
        <v>0</v>
      </c>
      <c r="AQ396" s="139">
        <v>0</v>
      </c>
      <c r="AR396" s="139">
        <v>9600</v>
      </c>
      <c r="AS396" s="139">
        <v>9600</v>
      </c>
      <c r="AT396" s="139">
        <v>9600</v>
      </c>
      <c r="AU396" s="139">
        <v>9600</v>
      </c>
      <c r="AV396" s="140"/>
    </row>
    <row r="397" spans="2:48" ht="15.75" customHeight="1" x14ac:dyDescent="0.2">
      <c r="B397" s="136" t="s">
        <v>378</v>
      </c>
      <c r="C397" s="137">
        <v>0</v>
      </c>
      <c r="D397" s="138">
        <v>0</v>
      </c>
      <c r="E397" s="139">
        <v>0</v>
      </c>
      <c r="F397" s="139">
        <v>0</v>
      </c>
      <c r="G397" s="139">
        <v>0</v>
      </c>
      <c r="H397" s="139">
        <v>0</v>
      </c>
      <c r="I397" s="139">
        <v>0</v>
      </c>
      <c r="J397" s="139">
        <v>0</v>
      </c>
      <c r="K397" s="139">
        <v>0</v>
      </c>
      <c r="L397" s="139">
        <v>0</v>
      </c>
      <c r="M397" s="139">
        <v>0</v>
      </c>
      <c r="N397" s="139">
        <v>0</v>
      </c>
      <c r="O397" s="139">
        <v>0</v>
      </c>
      <c r="P397" s="139">
        <v>0</v>
      </c>
      <c r="Q397" s="139">
        <v>0</v>
      </c>
      <c r="R397" s="139">
        <v>0</v>
      </c>
      <c r="S397" s="139">
        <v>0</v>
      </c>
      <c r="T397" s="139">
        <v>0</v>
      </c>
      <c r="U397" s="139">
        <v>0</v>
      </c>
      <c r="V397" s="139">
        <v>0</v>
      </c>
      <c r="W397" s="139">
        <v>0</v>
      </c>
      <c r="X397" s="139">
        <v>0</v>
      </c>
      <c r="Y397" s="139">
        <v>0</v>
      </c>
      <c r="Z397" s="139">
        <v>0</v>
      </c>
      <c r="AA397" s="139">
        <v>0</v>
      </c>
      <c r="AB397" s="139">
        <v>0</v>
      </c>
      <c r="AC397" s="139">
        <v>0</v>
      </c>
      <c r="AD397" s="139">
        <v>0</v>
      </c>
      <c r="AE397" s="139">
        <v>0</v>
      </c>
      <c r="AF397" s="139">
        <v>0</v>
      </c>
      <c r="AG397" s="139">
        <v>0</v>
      </c>
      <c r="AH397" s="139">
        <v>0</v>
      </c>
      <c r="AI397" s="139">
        <v>0</v>
      </c>
      <c r="AJ397" s="139">
        <v>0</v>
      </c>
      <c r="AK397" s="139">
        <v>0</v>
      </c>
      <c r="AL397" s="139">
        <v>0</v>
      </c>
      <c r="AM397" s="139">
        <v>0</v>
      </c>
      <c r="AN397" s="139">
        <v>0</v>
      </c>
      <c r="AO397" s="139">
        <v>0</v>
      </c>
      <c r="AP397" s="139">
        <v>0</v>
      </c>
      <c r="AQ397" s="139">
        <v>0</v>
      </c>
      <c r="AR397" s="139">
        <v>22464</v>
      </c>
      <c r="AS397" s="139">
        <v>22464</v>
      </c>
      <c r="AT397" s="139">
        <v>22464</v>
      </c>
      <c r="AU397" s="139">
        <v>22464</v>
      </c>
      <c r="AV397" s="140"/>
    </row>
    <row r="398" spans="2:48" ht="15.75" customHeight="1" x14ac:dyDescent="0.2">
      <c r="B398" s="136" t="s">
        <v>379</v>
      </c>
      <c r="C398" s="137">
        <v>0</v>
      </c>
      <c r="D398" s="138">
        <v>0</v>
      </c>
      <c r="E398" s="139">
        <v>0</v>
      </c>
      <c r="F398" s="139">
        <v>0</v>
      </c>
      <c r="G398" s="139">
        <v>0</v>
      </c>
      <c r="H398" s="139">
        <v>0</v>
      </c>
      <c r="I398" s="139">
        <v>0</v>
      </c>
      <c r="J398" s="139">
        <v>0</v>
      </c>
      <c r="K398" s="139">
        <v>0</v>
      </c>
      <c r="L398" s="139">
        <v>0</v>
      </c>
      <c r="M398" s="139">
        <v>0</v>
      </c>
      <c r="N398" s="139">
        <v>0</v>
      </c>
      <c r="O398" s="139">
        <v>0</v>
      </c>
      <c r="P398" s="139">
        <v>0</v>
      </c>
      <c r="Q398" s="139">
        <v>0</v>
      </c>
      <c r="R398" s="139">
        <v>0</v>
      </c>
      <c r="S398" s="139">
        <v>0</v>
      </c>
      <c r="T398" s="139">
        <v>0</v>
      </c>
      <c r="U398" s="139">
        <v>0</v>
      </c>
      <c r="V398" s="139">
        <v>0</v>
      </c>
      <c r="W398" s="139">
        <v>0</v>
      </c>
      <c r="X398" s="139">
        <v>0</v>
      </c>
      <c r="Y398" s="139">
        <v>0</v>
      </c>
      <c r="Z398" s="139">
        <v>0</v>
      </c>
      <c r="AA398" s="139">
        <v>0</v>
      </c>
      <c r="AB398" s="139">
        <v>0</v>
      </c>
      <c r="AC398" s="139">
        <v>0</v>
      </c>
      <c r="AD398" s="139">
        <v>0</v>
      </c>
      <c r="AE398" s="139">
        <v>0</v>
      </c>
      <c r="AF398" s="139">
        <v>0</v>
      </c>
      <c r="AG398" s="139">
        <v>0</v>
      </c>
      <c r="AH398" s="139">
        <v>0</v>
      </c>
      <c r="AI398" s="139">
        <v>0</v>
      </c>
      <c r="AJ398" s="139">
        <v>0</v>
      </c>
      <c r="AK398" s="139">
        <v>0</v>
      </c>
      <c r="AL398" s="139">
        <v>0</v>
      </c>
      <c r="AM398" s="139">
        <v>0</v>
      </c>
      <c r="AN398" s="139">
        <v>0</v>
      </c>
      <c r="AO398" s="139">
        <v>0</v>
      </c>
      <c r="AP398" s="139">
        <v>0</v>
      </c>
      <c r="AQ398" s="139">
        <v>0</v>
      </c>
      <c r="AR398" s="139">
        <v>29400</v>
      </c>
      <c r="AS398" s="139">
        <v>29400</v>
      </c>
      <c r="AT398" s="139">
        <v>29400</v>
      </c>
      <c r="AU398" s="139">
        <v>29400</v>
      </c>
      <c r="AV398" s="140"/>
    </row>
    <row r="399" spans="2:48" ht="15.75" customHeight="1" x14ac:dyDescent="0.2">
      <c r="B399" s="136" t="s">
        <v>380</v>
      </c>
      <c r="C399" s="137">
        <v>0</v>
      </c>
      <c r="D399" s="138">
        <v>0</v>
      </c>
      <c r="E399" s="139">
        <v>0</v>
      </c>
      <c r="F399" s="139">
        <v>0</v>
      </c>
      <c r="G399" s="139">
        <v>0</v>
      </c>
      <c r="H399" s="139">
        <v>0</v>
      </c>
      <c r="I399" s="139">
        <v>0</v>
      </c>
      <c r="J399" s="139">
        <v>0</v>
      </c>
      <c r="K399" s="139">
        <v>0</v>
      </c>
      <c r="L399" s="139">
        <v>0</v>
      </c>
      <c r="M399" s="139">
        <v>0</v>
      </c>
      <c r="N399" s="139">
        <v>0</v>
      </c>
      <c r="O399" s="139">
        <v>0</v>
      </c>
      <c r="P399" s="139">
        <v>0</v>
      </c>
      <c r="Q399" s="139">
        <v>0</v>
      </c>
      <c r="R399" s="139">
        <v>0</v>
      </c>
      <c r="S399" s="139">
        <v>0</v>
      </c>
      <c r="T399" s="139">
        <v>0</v>
      </c>
      <c r="U399" s="139">
        <v>0</v>
      </c>
      <c r="V399" s="139">
        <v>0</v>
      </c>
      <c r="W399" s="139">
        <v>0</v>
      </c>
      <c r="X399" s="139">
        <v>0</v>
      </c>
      <c r="Y399" s="139">
        <v>0</v>
      </c>
      <c r="Z399" s="139">
        <v>0</v>
      </c>
      <c r="AA399" s="139">
        <v>0</v>
      </c>
      <c r="AB399" s="139">
        <v>0</v>
      </c>
      <c r="AC399" s="139">
        <v>0</v>
      </c>
      <c r="AD399" s="139">
        <v>0</v>
      </c>
      <c r="AE399" s="139">
        <v>0</v>
      </c>
      <c r="AF399" s="139">
        <v>0</v>
      </c>
      <c r="AG399" s="139">
        <v>0</v>
      </c>
      <c r="AH399" s="139">
        <v>0</v>
      </c>
      <c r="AI399" s="139">
        <v>0</v>
      </c>
      <c r="AJ399" s="139">
        <v>0</v>
      </c>
      <c r="AK399" s="139">
        <v>0</v>
      </c>
      <c r="AL399" s="139">
        <v>0</v>
      </c>
      <c r="AM399" s="139">
        <v>0</v>
      </c>
      <c r="AN399" s="139">
        <v>0</v>
      </c>
      <c r="AO399" s="139">
        <v>0</v>
      </c>
      <c r="AP399" s="139">
        <v>0</v>
      </c>
      <c r="AQ399" s="139">
        <v>0</v>
      </c>
      <c r="AR399" s="139">
        <v>9618</v>
      </c>
      <c r="AS399" s="139">
        <v>9618</v>
      </c>
      <c r="AT399" s="139">
        <v>9618</v>
      </c>
      <c r="AU399" s="139">
        <v>9618</v>
      </c>
      <c r="AV399" s="140"/>
    </row>
    <row r="400" spans="2:48" ht="15.75" customHeight="1" x14ac:dyDescent="0.2">
      <c r="B400" s="136" t="s">
        <v>381</v>
      </c>
      <c r="C400" s="137">
        <v>0</v>
      </c>
      <c r="D400" s="138">
        <v>0</v>
      </c>
      <c r="E400" s="139">
        <v>0</v>
      </c>
      <c r="F400" s="139">
        <v>0</v>
      </c>
      <c r="G400" s="139">
        <v>0</v>
      </c>
      <c r="H400" s="139">
        <v>0</v>
      </c>
      <c r="I400" s="139">
        <v>0</v>
      </c>
      <c r="J400" s="139">
        <v>0</v>
      </c>
      <c r="K400" s="139">
        <v>0</v>
      </c>
      <c r="L400" s="139">
        <v>0</v>
      </c>
      <c r="M400" s="139">
        <v>0</v>
      </c>
      <c r="N400" s="139">
        <v>0</v>
      </c>
      <c r="O400" s="139">
        <v>0</v>
      </c>
      <c r="P400" s="139">
        <v>0</v>
      </c>
      <c r="Q400" s="139">
        <v>0</v>
      </c>
      <c r="R400" s="139">
        <v>0</v>
      </c>
      <c r="S400" s="139">
        <v>0</v>
      </c>
      <c r="T400" s="139">
        <v>0</v>
      </c>
      <c r="U400" s="139">
        <v>0</v>
      </c>
      <c r="V400" s="139">
        <v>0</v>
      </c>
      <c r="W400" s="139">
        <v>0</v>
      </c>
      <c r="X400" s="139">
        <v>0</v>
      </c>
      <c r="Y400" s="139">
        <v>0</v>
      </c>
      <c r="Z400" s="139">
        <v>0</v>
      </c>
      <c r="AA400" s="139">
        <v>0</v>
      </c>
      <c r="AB400" s="139">
        <v>0</v>
      </c>
      <c r="AC400" s="139">
        <v>0</v>
      </c>
      <c r="AD400" s="139">
        <v>0</v>
      </c>
      <c r="AE400" s="139">
        <v>0</v>
      </c>
      <c r="AF400" s="139">
        <v>0</v>
      </c>
      <c r="AG400" s="139">
        <v>0</v>
      </c>
      <c r="AH400" s="139">
        <v>0</v>
      </c>
      <c r="AI400" s="139">
        <v>0</v>
      </c>
      <c r="AJ400" s="139">
        <v>0</v>
      </c>
      <c r="AK400" s="139">
        <v>0</v>
      </c>
      <c r="AL400" s="139">
        <v>0</v>
      </c>
      <c r="AM400" s="139">
        <v>0</v>
      </c>
      <c r="AN400" s="139">
        <v>0</v>
      </c>
      <c r="AO400" s="139">
        <v>0</v>
      </c>
      <c r="AP400" s="139">
        <v>0</v>
      </c>
      <c r="AQ400" s="139">
        <v>0</v>
      </c>
      <c r="AR400" s="139">
        <v>9600</v>
      </c>
      <c r="AS400" s="139">
        <v>9600</v>
      </c>
      <c r="AT400" s="139">
        <v>9600</v>
      </c>
      <c r="AU400" s="139">
        <v>9600</v>
      </c>
      <c r="AV400" s="140"/>
    </row>
    <row r="401" spans="2:48" ht="15.75" customHeight="1" x14ac:dyDescent="0.2">
      <c r="B401" s="136" t="s">
        <v>382</v>
      </c>
      <c r="C401" s="137">
        <v>0</v>
      </c>
      <c r="D401" s="138">
        <v>0</v>
      </c>
      <c r="E401" s="139">
        <v>0</v>
      </c>
      <c r="F401" s="139">
        <v>0</v>
      </c>
      <c r="G401" s="139">
        <v>0</v>
      </c>
      <c r="H401" s="139">
        <v>0</v>
      </c>
      <c r="I401" s="139">
        <v>0</v>
      </c>
      <c r="J401" s="139">
        <v>0</v>
      </c>
      <c r="K401" s="139">
        <v>0</v>
      </c>
      <c r="L401" s="139">
        <v>0</v>
      </c>
      <c r="M401" s="139">
        <v>0</v>
      </c>
      <c r="N401" s="139">
        <v>0</v>
      </c>
      <c r="O401" s="139">
        <v>0</v>
      </c>
      <c r="P401" s="139">
        <v>0</v>
      </c>
      <c r="Q401" s="139">
        <v>0</v>
      </c>
      <c r="R401" s="139">
        <v>0</v>
      </c>
      <c r="S401" s="139">
        <v>0</v>
      </c>
      <c r="T401" s="139">
        <v>0</v>
      </c>
      <c r="U401" s="139">
        <v>0</v>
      </c>
      <c r="V401" s="139">
        <v>0</v>
      </c>
      <c r="W401" s="139">
        <v>0</v>
      </c>
      <c r="X401" s="139">
        <v>0</v>
      </c>
      <c r="Y401" s="139">
        <v>0</v>
      </c>
      <c r="Z401" s="139">
        <v>0</v>
      </c>
      <c r="AA401" s="139">
        <v>0</v>
      </c>
      <c r="AB401" s="139">
        <v>0</v>
      </c>
      <c r="AC401" s="139">
        <v>0</v>
      </c>
      <c r="AD401" s="139">
        <v>0</v>
      </c>
      <c r="AE401" s="139">
        <v>0</v>
      </c>
      <c r="AF401" s="139">
        <v>0</v>
      </c>
      <c r="AG401" s="139">
        <v>0</v>
      </c>
      <c r="AH401" s="139">
        <v>0</v>
      </c>
      <c r="AI401" s="139">
        <v>0</v>
      </c>
      <c r="AJ401" s="139">
        <v>0</v>
      </c>
      <c r="AK401" s="139">
        <v>0</v>
      </c>
      <c r="AL401" s="139">
        <v>0</v>
      </c>
      <c r="AM401" s="139">
        <v>0</v>
      </c>
      <c r="AN401" s="139">
        <v>0</v>
      </c>
      <c r="AO401" s="139">
        <v>0</v>
      </c>
      <c r="AP401" s="139">
        <v>0</v>
      </c>
      <c r="AQ401" s="139">
        <v>0</v>
      </c>
      <c r="AR401" s="139">
        <v>14400</v>
      </c>
      <c r="AS401" s="139">
        <v>14400</v>
      </c>
      <c r="AT401" s="139">
        <v>14400</v>
      </c>
      <c r="AU401" s="139">
        <v>14400</v>
      </c>
      <c r="AV401" s="140"/>
    </row>
    <row r="402" spans="2:48" ht="15.75" customHeight="1" x14ac:dyDescent="0.2">
      <c r="B402" s="136" t="s">
        <v>383</v>
      </c>
      <c r="C402" s="137">
        <v>0</v>
      </c>
      <c r="D402" s="138">
        <v>0</v>
      </c>
      <c r="E402" s="139">
        <v>0</v>
      </c>
      <c r="F402" s="139">
        <v>0</v>
      </c>
      <c r="G402" s="139">
        <v>0</v>
      </c>
      <c r="H402" s="139">
        <v>0</v>
      </c>
      <c r="I402" s="139">
        <v>0</v>
      </c>
      <c r="J402" s="139">
        <v>0</v>
      </c>
      <c r="K402" s="139">
        <v>0</v>
      </c>
      <c r="L402" s="139">
        <v>0</v>
      </c>
      <c r="M402" s="139">
        <v>0</v>
      </c>
      <c r="N402" s="139">
        <v>0</v>
      </c>
      <c r="O402" s="139">
        <v>0</v>
      </c>
      <c r="P402" s="139">
        <v>0</v>
      </c>
      <c r="Q402" s="139">
        <v>0</v>
      </c>
      <c r="R402" s="139">
        <v>0</v>
      </c>
      <c r="S402" s="139">
        <v>0</v>
      </c>
      <c r="T402" s="139">
        <v>0</v>
      </c>
      <c r="U402" s="139">
        <v>0</v>
      </c>
      <c r="V402" s="139">
        <v>0</v>
      </c>
      <c r="W402" s="139">
        <v>0</v>
      </c>
      <c r="X402" s="139">
        <v>0</v>
      </c>
      <c r="Y402" s="139">
        <v>0</v>
      </c>
      <c r="Z402" s="139">
        <v>0</v>
      </c>
      <c r="AA402" s="139">
        <v>0</v>
      </c>
      <c r="AB402" s="139">
        <v>0</v>
      </c>
      <c r="AC402" s="139">
        <v>0</v>
      </c>
      <c r="AD402" s="139">
        <v>0</v>
      </c>
      <c r="AE402" s="139">
        <v>0</v>
      </c>
      <c r="AF402" s="139">
        <v>0</v>
      </c>
      <c r="AG402" s="139">
        <v>0</v>
      </c>
      <c r="AH402" s="139">
        <v>0</v>
      </c>
      <c r="AI402" s="139">
        <v>0</v>
      </c>
      <c r="AJ402" s="139">
        <v>0</v>
      </c>
      <c r="AK402" s="139">
        <v>0</v>
      </c>
      <c r="AL402" s="139">
        <v>0</v>
      </c>
      <c r="AM402" s="139">
        <v>0</v>
      </c>
      <c r="AN402" s="139">
        <v>0</v>
      </c>
      <c r="AO402" s="139">
        <v>0</v>
      </c>
      <c r="AP402" s="139">
        <v>0</v>
      </c>
      <c r="AQ402" s="139">
        <v>0</v>
      </c>
      <c r="AR402" s="139">
        <v>34800</v>
      </c>
      <c r="AS402" s="139">
        <v>34800</v>
      </c>
      <c r="AT402" s="139">
        <v>34800</v>
      </c>
      <c r="AU402" s="139">
        <v>34800</v>
      </c>
      <c r="AV402" s="140"/>
    </row>
    <row r="403" spans="2:48" ht="15.75" customHeight="1" x14ac:dyDescent="0.2">
      <c r="B403" s="136" t="s">
        <v>384</v>
      </c>
      <c r="C403" s="137">
        <v>0</v>
      </c>
      <c r="D403" s="138">
        <v>0</v>
      </c>
      <c r="E403" s="139">
        <v>0</v>
      </c>
      <c r="F403" s="139">
        <v>0</v>
      </c>
      <c r="G403" s="139">
        <v>0</v>
      </c>
      <c r="H403" s="139">
        <v>0</v>
      </c>
      <c r="I403" s="139">
        <v>0</v>
      </c>
      <c r="J403" s="139">
        <v>0</v>
      </c>
      <c r="K403" s="139">
        <v>0</v>
      </c>
      <c r="L403" s="139">
        <v>0</v>
      </c>
      <c r="M403" s="139">
        <v>0</v>
      </c>
      <c r="N403" s="139">
        <v>0</v>
      </c>
      <c r="O403" s="139">
        <v>0</v>
      </c>
      <c r="P403" s="139">
        <v>0</v>
      </c>
      <c r="Q403" s="139">
        <v>0</v>
      </c>
      <c r="R403" s="139">
        <v>0</v>
      </c>
      <c r="S403" s="139">
        <v>0</v>
      </c>
      <c r="T403" s="139">
        <v>0</v>
      </c>
      <c r="U403" s="139">
        <v>0</v>
      </c>
      <c r="V403" s="139">
        <v>0</v>
      </c>
      <c r="W403" s="139">
        <v>0</v>
      </c>
      <c r="X403" s="139">
        <v>0</v>
      </c>
      <c r="Y403" s="139">
        <v>0</v>
      </c>
      <c r="Z403" s="139">
        <v>0</v>
      </c>
      <c r="AA403" s="139">
        <v>0</v>
      </c>
      <c r="AB403" s="139">
        <v>0</v>
      </c>
      <c r="AC403" s="139">
        <v>0</v>
      </c>
      <c r="AD403" s="139">
        <v>0</v>
      </c>
      <c r="AE403" s="139">
        <v>0</v>
      </c>
      <c r="AF403" s="139">
        <v>0</v>
      </c>
      <c r="AG403" s="139">
        <v>0</v>
      </c>
      <c r="AH403" s="139">
        <v>0</v>
      </c>
      <c r="AI403" s="139">
        <v>0</v>
      </c>
      <c r="AJ403" s="139">
        <v>0</v>
      </c>
      <c r="AK403" s="139">
        <v>0</v>
      </c>
      <c r="AL403" s="139">
        <v>0</v>
      </c>
      <c r="AM403" s="139">
        <v>0</v>
      </c>
      <c r="AN403" s="139">
        <v>0</v>
      </c>
      <c r="AO403" s="139">
        <v>0</v>
      </c>
      <c r="AP403" s="139">
        <v>0</v>
      </c>
      <c r="AQ403" s="139">
        <v>0</v>
      </c>
      <c r="AR403" s="139">
        <v>25200</v>
      </c>
      <c r="AS403" s="139">
        <v>25200</v>
      </c>
      <c r="AT403" s="139">
        <v>25200</v>
      </c>
      <c r="AU403" s="139">
        <v>25200</v>
      </c>
      <c r="AV403" s="140"/>
    </row>
    <row r="404" spans="2:48" ht="15.75" customHeight="1" x14ac:dyDescent="0.2">
      <c r="B404" s="136" t="s">
        <v>385</v>
      </c>
      <c r="C404" s="137">
        <v>0</v>
      </c>
      <c r="D404" s="138">
        <v>0</v>
      </c>
      <c r="E404" s="139">
        <v>0</v>
      </c>
      <c r="F404" s="139">
        <v>0</v>
      </c>
      <c r="G404" s="139">
        <v>0</v>
      </c>
      <c r="H404" s="139">
        <v>0</v>
      </c>
      <c r="I404" s="139">
        <v>0</v>
      </c>
      <c r="J404" s="139">
        <v>0</v>
      </c>
      <c r="K404" s="139">
        <v>0</v>
      </c>
      <c r="L404" s="139">
        <v>0</v>
      </c>
      <c r="M404" s="139">
        <v>0</v>
      </c>
      <c r="N404" s="139">
        <v>0</v>
      </c>
      <c r="O404" s="139">
        <v>0</v>
      </c>
      <c r="P404" s="139">
        <v>0</v>
      </c>
      <c r="Q404" s="139">
        <v>0</v>
      </c>
      <c r="R404" s="139">
        <v>0</v>
      </c>
      <c r="S404" s="139">
        <v>0</v>
      </c>
      <c r="T404" s="139">
        <v>0</v>
      </c>
      <c r="U404" s="139">
        <v>0</v>
      </c>
      <c r="V404" s="139">
        <v>0</v>
      </c>
      <c r="W404" s="139">
        <v>0</v>
      </c>
      <c r="X404" s="139">
        <v>0</v>
      </c>
      <c r="Y404" s="139">
        <v>0</v>
      </c>
      <c r="Z404" s="139">
        <v>0</v>
      </c>
      <c r="AA404" s="139">
        <v>0</v>
      </c>
      <c r="AB404" s="139">
        <v>0</v>
      </c>
      <c r="AC404" s="139">
        <v>0</v>
      </c>
      <c r="AD404" s="139">
        <v>0</v>
      </c>
      <c r="AE404" s="139">
        <v>0</v>
      </c>
      <c r="AF404" s="139">
        <v>0</v>
      </c>
      <c r="AG404" s="139">
        <v>0</v>
      </c>
      <c r="AH404" s="139">
        <v>0</v>
      </c>
      <c r="AI404" s="139">
        <v>0</v>
      </c>
      <c r="AJ404" s="139">
        <v>0</v>
      </c>
      <c r="AK404" s="139">
        <v>0</v>
      </c>
      <c r="AL404" s="139">
        <v>0</v>
      </c>
      <c r="AM404" s="139">
        <v>0</v>
      </c>
      <c r="AN404" s="139">
        <v>0</v>
      </c>
      <c r="AO404" s="139">
        <v>0</v>
      </c>
      <c r="AP404" s="139">
        <v>0</v>
      </c>
      <c r="AQ404" s="139">
        <v>0</v>
      </c>
      <c r="AR404" s="139">
        <v>119700</v>
      </c>
      <c r="AS404" s="139">
        <v>119700</v>
      </c>
      <c r="AT404" s="139">
        <v>119700</v>
      </c>
      <c r="AU404" s="139">
        <v>119700</v>
      </c>
      <c r="AV404" s="140"/>
    </row>
    <row r="405" spans="2:48" ht="15.75" customHeight="1" x14ac:dyDescent="0.2">
      <c r="B405" s="136" t="s">
        <v>386</v>
      </c>
      <c r="C405" s="137">
        <v>0</v>
      </c>
      <c r="D405" s="138">
        <v>0</v>
      </c>
      <c r="E405" s="139">
        <v>0</v>
      </c>
      <c r="F405" s="139">
        <v>0</v>
      </c>
      <c r="G405" s="139">
        <v>0</v>
      </c>
      <c r="H405" s="139">
        <v>0</v>
      </c>
      <c r="I405" s="139">
        <v>0</v>
      </c>
      <c r="J405" s="139">
        <v>0</v>
      </c>
      <c r="K405" s="139">
        <v>0</v>
      </c>
      <c r="L405" s="139">
        <v>0</v>
      </c>
      <c r="M405" s="139">
        <v>0</v>
      </c>
      <c r="N405" s="139">
        <v>0</v>
      </c>
      <c r="O405" s="139">
        <v>0</v>
      </c>
      <c r="P405" s="139">
        <v>0</v>
      </c>
      <c r="Q405" s="139">
        <v>0</v>
      </c>
      <c r="R405" s="139">
        <v>0</v>
      </c>
      <c r="S405" s="139">
        <v>0</v>
      </c>
      <c r="T405" s="139">
        <v>0</v>
      </c>
      <c r="U405" s="139">
        <v>0</v>
      </c>
      <c r="V405" s="139">
        <v>0</v>
      </c>
      <c r="W405" s="139">
        <v>0</v>
      </c>
      <c r="X405" s="139">
        <v>0</v>
      </c>
      <c r="Y405" s="139">
        <v>0</v>
      </c>
      <c r="Z405" s="139">
        <v>0</v>
      </c>
      <c r="AA405" s="139">
        <v>0</v>
      </c>
      <c r="AB405" s="139">
        <v>0</v>
      </c>
      <c r="AC405" s="139">
        <v>0</v>
      </c>
      <c r="AD405" s="139">
        <v>0</v>
      </c>
      <c r="AE405" s="139">
        <v>0</v>
      </c>
      <c r="AF405" s="139">
        <v>0</v>
      </c>
      <c r="AG405" s="139">
        <v>0</v>
      </c>
      <c r="AH405" s="139">
        <v>0</v>
      </c>
      <c r="AI405" s="139">
        <v>0</v>
      </c>
      <c r="AJ405" s="139">
        <v>0</v>
      </c>
      <c r="AK405" s="139">
        <v>0</v>
      </c>
      <c r="AL405" s="139">
        <v>0</v>
      </c>
      <c r="AM405" s="139">
        <v>0</v>
      </c>
      <c r="AN405" s="139">
        <v>0</v>
      </c>
      <c r="AO405" s="139">
        <v>0</v>
      </c>
      <c r="AP405" s="139">
        <v>0</v>
      </c>
      <c r="AQ405" s="139">
        <v>0</v>
      </c>
      <c r="AR405" s="139">
        <v>18000</v>
      </c>
      <c r="AS405" s="139">
        <v>18000</v>
      </c>
      <c r="AT405" s="139">
        <v>18000</v>
      </c>
      <c r="AU405" s="139">
        <v>18000</v>
      </c>
      <c r="AV405" s="140"/>
    </row>
    <row r="406" spans="2:48" ht="15.75" customHeight="1" x14ac:dyDescent="0.2">
      <c r="B406" s="136" t="s">
        <v>387</v>
      </c>
      <c r="C406" s="137">
        <v>0</v>
      </c>
      <c r="D406" s="138">
        <v>0</v>
      </c>
      <c r="E406" s="139">
        <v>0</v>
      </c>
      <c r="F406" s="139">
        <v>0</v>
      </c>
      <c r="G406" s="139">
        <v>0</v>
      </c>
      <c r="H406" s="139">
        <v>0</v>
      </c>
      <c r="I406" s="139">
        <v>0</v>
      </c>
      <c r="J406" s="139">
        <v>0</v>
      </c>
      <c r="K406" s="139">
        <v>0</v>
      </c>
      <c r="L406" s="139">
        <v>0</v>
      </c>
      <c r="M406" s="139">
        <v>0</v>
      </c>
      <c r="N406" s="139">
        <v>0</v>
      </c>
      <c r="O406" s="139">
        <v>0</v>
      </c>
      <c r="P406" s="139">
        <v>0</v>
      </c>
      <c r="Q406" s="139">
        <v>0</v>
      </c>
      <c r="R406" s="139">
        <v>0</v>
      </c>
      <c r="S406" s="139">
        <v>0</v>
      </c>
      <c r="T406" s="139">
        <v>0</v>
      </c>
      <c r="U406" s="139">
        <v>0</v>
      </c>
      <c r="V406" s="139">
        <v>0</v>
      </c>
      <c r="W406" s="139">
        <v>0</v>
      </c>
      <c r="X406" s="139">
        <v>0</v>
      </c>
      <c r="Y406" s="139">
        <v>0</v>
      </c>
      <c r="Z406" s="139">
        <v>0</v>
      </c>
      <c r="AA406" s="139">
        <v>0</v>
      </c>
      <c r="AB406" s="139">
        <v>0</v>
      </c>
      <c r="AC406" s="139">
        <v>0</v>
      </c>
      <c r="AD406" s="139">
        <v>0</v>
      </c>
      <c r="AE406" s="139">
        <v>0</v>
      </c>
      <c r="AF406" s="139">
        <v>0</v>
      </c>
      <c r="AG406" s="139">
        <v>0</v>
      </c>
      <c r="AH406" s="139">
        <v>0</v>
      </c>
      <c r="AI406" s="139">
        <v>0</v>
      </c>
      <c r="AJ406" s="139">
        <v>0</v>
      </c>
      <c r="AK406" s="139">
        <v>0</v>
      </c>
      <c r="AL406" s="139">
        <v>0</v>
      </c>
      <c r="AM406" s="139">
        <v>0</v>
      </c>
      <c r="AN406" s="139">
        <v>0</v>
      </c>
      <c r="AO406" s="139">
        <v>0</v>
      </c>
      <c r="AP406" s="139">
        <v>0</v>
      </c>
      <c r="AQ406" s="139">
        <v>0</v>
      </c>
      <c r="AR406" s="139">
        <v>9600</v>
      </c>
      <c r="AS406" s="139">
        <v>9600</v>
      </c>
      <c r="AT406" s="139">
        <v>9600</v>
      </c>
      <c r="AU406" s="139">
        <v>9600</v>
      </c>
      <c r="AV406" s="140"/>
    </row>
    <row r="407" spans="2:48" ht="15.75" customHeight="1" x14ac:dyDescent="0.2">
      <c r="B407" s="136" t="s">
        <v>388</v>
      </c>
      <c r="C407" s="137">
        <v>0</v>
      </c>
      <c r="D407" s="138">
        <v>0</v>
      </c>
      <c r="E407" s="139">
        <v>0</v>
      </c>
      <c r="F407" s="139">
        <v>0</v>
      </c>
      <c r="G407" s="139">
        <v>0</v>
      </c>
      <c r="H407" s="139">
        <v>0</v>
      </c>
      <c r="I407" s="139">
        <v>0</v>
      </c>
      <c r="J407" s="139">
        <v>0</v>
      </c>
      <c r="K407" s="139">
        <v>0</v>
      </c>
      <c r="L407" s="139">
        <v>0</v>
      </c>
      <c r="M407" s="139">
        <v>0</v>
      </c>
      <c r="N407" s="139">
        <v>0</v>
      </c>
      <c r="O407" s="139">
        <v>0</v>
      </c>
      <c r="P407" s="139">
        <v>0</v>
      </c>
      <c r="Q407" s="139">
        <v>0</v>
      </c>
      <c r="R407" s="139">
        <v>0</v>
      </c>
      <c r="S407" s="139">
        <v>0</v>
      </c>
      <c r="T407" s="139">
        <v>0</v>
      </c>
      <c r="U407" s="139">
        <v>0</v>
      </c>
      <c r="V407" s="139">
        <v>0</v>
      </c>
      <c r="W407" s="139">
        <v>0</v>
      </c>
      <c r="X407" s="139">
        <v>0</v>
      </c>
      <c r="Y407" s="139">
        <v>0</v>
      </c>
      <c r="Z407" s="139">
        <v>0</v>
      </c>
      <c r="AA407" s="139">
        <v>0</v>
      </c>
      <c r="AB407" s="139">
        <v>0</v>
      </c>
      <c r="AC407" s="139">
        <v>0</v>
      </c>
      <c r="AD407" s="139">
        <v>0</v>
      </c>
      <c r="AE407" s="139">
        <v>0</v>
      </c>
      <c r="AF407" s="139">
        <v>0</v>
      </c>
      <c r="AG407" s="139">
        <v>0</v>
      </c>
      <c r="AH407" s="139">
        <v>0</v>
      </c>
      <c r="AI407" s="139">
        <v>0</v>
      </c>
      <c r="AJ407" s="139">
        <v>0</v>
      </c>
      <c r="AK407" s="139">
        <v>0</v>
      </c>
      <c r="AL407" s="139">
        <v>0</v>
      </c>
      <c r="AM407" s="139">
        <v>0</v>
      </c>
      <c r="AN407" s="139">
        <v>0</v>
      </c>
      <c r="AO407" s="139">
        <v>0</v>
      </c>
      <c r="AP407" s="139">
        <v>0</v>
      </c>
      <c r="AQ407" s="139">
        <v>0</v>
      </c>
      <c r="AR407" s="139">
        <v>48000</v>
      </c>
      <c r="AS407" s="139">
        <v>48000</v>
      </c>
      <c r="AT407" s="139">
        <v>48000</v>
      </c>
      <c r="AU407" s="139">
        <v>48000</v>
      </c>
      <c r="AV407" s="140"/>
    </row>
    <row r="408" spans="2:48" ht="15.75" customHeight="1" x14ac:dyDescent="0.2">
      <c r="B408" s="136" t="s">
        <v>389</v>
      </c>
      <c r="C408" s="137">
        <v>0</v>
      </c>
      <c r="D408" s="138">
        <v>0</v>
      </c>
      <c r="E408" s="139">
        <v>0</v>
      </c>
      <c r="F408" s="139">
        <v>0</v>
      </c>
      <c r="G408" s="139">
        <v>0</v>
      </c>
      <c r="H408" s="139">
        <v>0</v>
      </c>
      <c r="I408" s="139">
        <v>0</v>
      </c>
      <c r="J408" s="139">
        <v>0</v>
      </c>
      <c r="K408" s="139">
        <v>0</v>
      </c>
      <c r="L408" s="139">
        <v>0</v>
      </c>
      <c r="M408" s="139">
        <v>0</v>
      </c>
      <c r="N408" s="139">
        <v>0</v>
      </c>
      <c r="O408" s="139">
        <v>0</v>
      </c>
      <c r="P408" s="139">
        <v>0</v>
      </c>
      <c r="Q408" s="139">
        <v>0</v>
      </c>
      <c r="R408" s="139">
        <v>0</v>
      </c>
      <c r="S408" s="139">
        <v>0</v>
      </c>
      <c r="T408" s="139">
        <v>0</v>
      </c>
      <c r="U408" s="139">
        <v>0</v>
      </c>
      <c r="V408" s="139">
        <v>0</v>
      </c>
      <c r="W408" s="139">
        <v>0</v>
      </c>
      <c r="X408" s="139">
        <v>0</v>
      </c>
      <c r="Y408" s="139">
        <v>0</v>
      </c>
      <c r="Z408" s="139">
        <v>0</v>
      </c>
      <c r="AA408" s="139">
        <v>0</v>
      </c>
      <c r="AB408" s="139">
        <v>0</v>
      </c>
      <c r="AC408" s="139">
        <v>0</v>
      </c>
      <c r="AD408" s="139">
        <v>0</v>
      </c>
      <c r="AE408" s="139">
        <v>0</v>
      </c>
      <c r="AF408" s="139">
        <v>0</v>
      </c>
      <c r="AG408" s="139">
        <v>0</v>
      </c>
      <c r="AH408" s="139">
        <v>0</v>
      </c>
      <c r="AI408" s="139">
        <v>0</v>
      </c>
      <c r="AJ408" s="139">
        <v>0</v>
      </c>
      <c r="AK408" s="139">
        <v>0</v>
      </c>
      <c r="AL408" s="139">
        <v>0</v>
      </c>
      <c r="AM408" s="139">
        <v>0</v>
      </c>
      <c r="AN408" s="139">
        <v>0</v>
      </c>
      <c r="AO408" s="139">
        <v>0</v>
      </c>
      <c r="AP408" s="139">
        <v>0</v>
      </c>
      <c r="AQ408" s="139">
        <v>0</v>
      </c>
      <c r="AR408" s="139">
        <v>25620</v>
      </c>
      <c r="AS408" s="139">
        <v>25620</v>
      </c>
      <c r="AT408" s="139">
        <v>25620</v>
      </c>
      <c r="AU408" s="139">
        <v>25620</v>
      </c>
      <c r="AV408" s="140"/>
    </row>
    <row r="409" spans="2:48" ht="15.75" customHeight="1" x14ac:dyDescent="0.2">
      <c r="B409" s="136" t="s">
        <v>390</v>
      </c>
      <c r="C409" s="137">
        <v>0</v>
      </c>
      <c r="D409" s="138">
        <v>0</v>
      </c>
      <c r="E409" s="139">
        <v>0</v>
      </c>
      <c r="F409" s="139">
        <v>0</v>
      </c>
      <c r="G409" s="139">
        <v>0</v>
      </c>
      <c r="H409" s="139">
        <v>0</v>
      </c>
      <c r="I409" s="139">
        <v>0</v>
      </c>
      <c r="J409" s="139">
        <v>0</v>
      </c>
      <c r="K409" s="139">
        <v>0</v>
      </c>
      <c r="L409" s="139">
        <v>0</v>
      </c>
      <c r="M409" s="139">
        <v>0</v>
      </c>
      <c r="N409" s="139">
        <v>0</v>
      </c>
      <c r="O409" s="139">
        <v>0</v>
      </c>
      <c r="P409" s="139">
        <v>0</v>
      </c>
      <c r="Q409" s="139">
        <v>0</v>
      </c>
      <c r="R409" s="139">
        <v>0</v>
      </c>
      <c r="S409" s="139">
        <v>0</v>
      </c>
      <c r="T409" s="139">
        <v>0</v>
      </c>
      <c r="U409" s="139">
        <v>0</v>
      </c>
      <c r="V409" s="139">
        <v>0</v>
      </c>
      <c r="W409" s="139">
        <v>0</v>
      </c>
      <c r="X409" s="139">
        <v>0</v>
      </c>
      <c r="Y409" s="139">
        <v>0</v>
      </c>
      <c r="Z409" s="139">
        <v>0</v>
      </c>
      <c r="AA409" s="139">
        <v>0</v>
      </c>
      <c r="AB409" s="139">
        <v>0</v>
      </c>
      <c r="AC409" s="139">
        <v>0</v>
      </c>
      <c r="AD409" s="139">
        <v>0</v>
      </c>
      <c r="AE409" s="139">
        <v>0</v>
      </c>
      <c r="AF409" s="139">
        <v>0</v>
      </c>
      <c r="AG409" s="139">
        <v>0</v>
      </c>
      <c r="AH409" s="139">
        <v>0</v>
      </c>
      <c r="AI409" s="139">
        <v>0</v>
      </c>
      <c r="AJ409" s="139">
        <v>0</v>
      </c>
      <c r="AK409" s="139">
        <v>0</v>
      </c>
      <c r="AL409" s="139">
        <v>0</v>
      </c>
      <c r="AM409" s="139">
        <v>0</v>
      </c>
      <c r="AN409" s="139">
        <v>0</v>
      </c>
      <c r="AO409" s="139">
        <v>0</v>
      </c>
      <c r="AP409" s="139">
        <v>0</v>
      </c>
      <c r="AQ409" s="139">
        <v>0</v>
      </c>
      <c r="AR409" s="139">
        <v>85000</v>
      </c>
      <c r="AS409" s="139">
        <v>85000</v>
      </c>
      <c r="AT409" s="139">
        <v>85000</v>
      </c>
      <c r="AU409" s="139">
        <v>85000</v>
      </c>
      <c r="AV409" s="140"/>
    </row>
    <row r="410" spans="2:48" ht="15.75" customHeight="1" x14ac:dyDescent="0.2">
      <c r="B410" s="136" t="s">
        <v>391</v>
      </c>
      <c r="C410" s="137">
        <v>0</v>
      </c>
      <c r="D410" s="138">
        <v>0</v>
      </c>
      <c r="E410" s="139">
        <v>0</v>
      </c>
      <c r="F410" s="139">
        <v>0</v>
      </c>
      <c r="G410" s="139">
        <v>0</v>
      </c>
      <c r="H410" s="139">
        <v>0</v>
      </c>
      <c r="I410" s="139">
        <v>0</v>
      </c>
      <c r="J410" s="139">
        <v>0</v>
      </c>
      <c r="K410" s="139">
        <v>0</v>
      </c>
      <c r="L410" s="139">
        <v>0</v>
      </c>
      <c r="M410" s="139">
        <v>0</v>
      </c>
      <c r="N410" s="139">
        <v>0</v>
      </c>
      <c r="O410" s="139">
        <v>0</v>
      </c>
      <c r="P410" s="139">
        <v>0</v>
      </c>
      <c r="Q410" s="139">
        <v>0</v>
      </c>
      <c r="R410" s="139">
        <v>0</v>
      </c>
      <c r="S410" s="139">
        <v>0</v>
      </c>
      <c r="T410" s="139">
        <v>0</v>
      </c>
      <c r="U410" s="139">
        <v>0</v>
      </c>
      <c r="V410" s="139">
        <v>0</v>
      </c>
      <c r="W410" s="139">
        <v>0</v>
      </c>
      <c r="X410" s="139">
        <v>0</v>
      </c>
      <c r="Y410" s="139">
        <v>0</v>
      </c>
      <c r="Z410" s="139">
        <v>0</v>
      </c>
      <c r="AA410" s="139">
        <v>0</v>
      </c>
      <c r="AB410" s="139">
        <v>0</v>
      </c>
      <c r="AC410" s="139">
        <v>0</v>
      </c>
      <c r="AD410" s="139">
        <v>0</v>
      </c>
      <c r="AE410" s="139">
        <v>0</v>
      </c>
      <c r="AF410" s="139">
        <v>0</v>
      </c>
      <c r="AG410" s="139">
        <v>0</v>
      </c>
      <c r="AH410" s="139">
        <v>0</v>
      </c>
      <c r="AI410" s="139">
        <v>0</v>
      </c>
      <c r="AJ410" s="139">
        <v>0</v>
      </c>
      <c r="AK410" s="139">
        <v>0</v>
      </c>
      <c r="AL410" s="139">
        <v>0</v>
      </c>
      <c r="AM410" s="139">
        <v>0</v>
      </c>
      <c r="AN410" s="139">
        <v>0</v>
      </c>
      <c r="AO410" s="139">
        <v>0</v>
      </c>
      <c r="AP410" s="139">
        <v>0</v>
      </c>
      <c r="AQ410" s="139">
        <v>0</v>
      </c>
      <c r="AR410" s="139">
        <v>9600</v>
      </c>
      <c r="AS410" s="139">
        <v>9600</v>
      </c>
      <c r="AT410" s="139">
        <v>9600</v>
      </c>
      <c r="AU410" s="139">
        <v>9600</v>
      </c>
      <c r="AV410" s="140"/>
    </row>
    <row r="411" spans="2:48" ht="15.75" customHeight="1" x14ac:dyDescent="0.2">
      <c r="B411" s="136" t="s">
        <v>392</v>
      </c>
      <c r="C411" s="137">
        <v>0</v>
      </c>
      <c r="D411" s="138">
        <v>0</v>
      </c>
      <c r="E411" s="139">
        <v>0</v>
      </c>
      <c r="F411" s="139">
        <v>0</v>
      </c>
      <c r="G411" s="139">
        <v>0</v>
      </c>
      <c r="H411" s="139">
        <v>0</v>
      </c>
      <c r="I411" s="139">
        <v>0</v>
      </c>
      <c r="J411" s="139">
        <v>0</v>
      </c>
      <c r="K411" s="139">
        <v>0</v>
      </c>
      <c r="L411" s="139">
        <v>0</v>
      </c>
      <c r="M411" s="139">
        <v>0</v>
      </c>
      <c r="N411" s="139">
        <v>0</v>
      </c>
      <c r="O411" s="139">
        <v>0</v>
      </c>
      <c r="P411" s="139">
        <v>0</v>
      </c>
      <c r="Q411" s="139">
        <v>0</v>
      </c>
      <c r="R411" s="139">
        <v>0</v>
      </c>
      <c r="S411" s="139">
        <v>0</v>
      </c>
      <c r="T411" s="139">
        <v>0</v>
      </c>
      <c r="U411" s="139">
        <v>0</v>
      </c>
      <c r="V411" s="139">
        <v>0</v>
      </c>
      <c r="W411" s="139">
        <v>0</v>
      </c>
      <c r="X411" s="139">
        <v>0</v>
      </c>
      <c r="Y411" s="139">
        <v>0</v>
      </c>
      <c r="Z411" s="139">
        <v>0</v>
      </c>
      <c r="AA411" s="139">
        <v>0</v>
      </c>
      <c r="AB411" s="139">
        <v>0</v>
      </c>
      <c r="AC411" s="139">
        <v>0</v>
      </c>
      <c r="AD411" s="139">
        <v>0</v>
      </c>
      <c r="AE411" s="139">
        <v>0</v>
      </c>
      <c r="AF411" s="139">
        <v>0</v>
      </c>
      <c r="AG411" s="139">
        <v>0</v>
      </c>
      <c r="AH411" s="139">
        <v>0</v>
      </c>
      <c r="AI411" s="139">
        <v>0</v>
      </c>
      <c r="AJ411" s="139">
        <v>0</v>
      </c>
      <c r="AK411" s="139">
        <v>0</v>
      </c>
      <c r="AL411" s="139">
        <v>0</v>
      </c>
      <c r="AM411" s="139">
        <v>0</v>
      </c>
      <c r="AN411" s="139">
        <v>0</v>
      </c>
      <c r="AO411" s="139">
        <v>0</v>
      </c>
      <c r="AP411" s="139">
        <v>0</v>
      </c>
      <c r="AQ411" s="139">
        <v>0</v>
      </c>
      <c r="AR411" s="139">
        <v>47880</v>
      </c>
      <c r="AS411" s="139">
        <v>47880</v>
      </c>
      <c r="AT411" s="139">
        <v>47880</v>
      </c>
      <c r="AU411" s="139">
        <v>47880</v>
      </c>
      <c r="AV411" s="140"/>
    </row>
    <row r="412" spans="2:48" ht="15.75" customHeight="1" x14ac:dyDescent="0.2">
      <c r="B412" s="136" t="s">
        <v>393</v>
      </c>
      <c r="C412" s="137">
        <v>0</v>
      </c>
      <c r="D412" s="138">
        <v>0</v>
      </c>
      <c r="E412" s="139">
        <v>0</v>
      </c>
      <c r="F412" s="139">
        <v>0</v>
      </c>
      <c r="G412" s="139">
        <v>0</v>
      </c>
      <c r="H412" s="139">
        <v>0</v>
      </c>
      <c r="I412" s="139">
        <v>0</v>
      </c>
      <c r="J412" s="139">
        <v>0</v>
      </c>
      <c r="K412" s="139">
        <v>0</v>
      </c>
      <c r="L412" s="139">
        <v>0</v>
      </c>
      <c r="M412" s="139">
        <v>0</v>
      </c>
      <c r="N412" s="139">
        <v>0</v>
      </c>
      <c r="O412" s="139">
        <v>0</v>
      </c>
      <c r="P412" s="139">
        <v>0</v>
      </c>
      <c r="Q412" s="139">
        <v>0</v>
      </c>
      <c r="R412" s="139">
        <v>0</v>
      </c>
      <c r="S412" s="139">
        <v>0</v>
      </c>
      <c r="T412" s="139">
        <v>0</v>
      </c>
      <c r="U412" s="139">
        <v>0</v>
      </c>
      <c r="V412" s="139">
        <v>0</v>
      </c>
      <c r="W412" s="139">
        <v>0</v>
      </c>
      <c r="X412" s="139">
        <v>0</v>
      </c>
      <c r="Y412" s="139">
        <v>0</v>
      </c>
      <c r="Z412" s="139">
        <v>0</v>
      </c>
      <c r="AA412" s="139">
        <v>0</v>
      </c>
      <c r="AB412" s="139">
        <v>0</v>
      </c>
      <c r="AC412" s="139">
        <v>0</v>
      </c>
      <c r="AD412" s="139">
        <v>0</v>
      </c>
      <c r="AE412" s="139">
        <v>0</v>
      </c>
      <c r="AF412" s="139">
        <v>0</v>
      </c>
      <c r="AG412" s="139">
        <v>0</v>
      </c>
      <c r="AH412" s="139">
        <v>0</v>
      </c>
      <c r="AI412" s="139">
        <v>0</v>
      </c>
      <c r="AJ412" s="139">
        <v>0</v>
      </c>
      <c r="AK412" s="139">
        <v>0</v>
      </c>
      <c r="AL412" s="139">
        <v>0</v>
      </c>
      <c r="AM412" s="139">
        <v>0</v>
      </c>
      <c r="AN412" s="139">
        <v>0</v>
      </c>
      <c r="AO412" s="139">
        <v>0</v>
      </c>
      <c r="AP412" s="139">
        <v>0</v>
      </c>
      <c r="AQ412" s="139">
        <v>0</v>
      </c>
      <c r="AR412" s="139">
        <v>30000</v>
      </c>
      <c r="AS412" s="139">
        <v>30000</v>
      </c>
      <c r="AT412" s="139">
        <v>30000</v>
      </c>
      <c r="AU412" s="139">
        <v>30000</v>
      </c>
      <c r="AV412" s="140"/>
    </row>
    <row r="413" spans="2:48" ht="15.75" customHeight="1" x14ac:dyDescent="0.2">
      <c r="B413" s="136" t="s">
        <v>394</v>
      </c>
      <c r="C413" s="137">
        <v>0</v>
      </c>
      <c r="D413" s="138">
        <v>0</v>
      </c>
      <c r="E413" s="139">
        <v>0</v>
      </c>
      <c r="F413" s="139">
        <v>0</v>
      </c>
      <c r="G413" s="139">
        <v>0</v>
      </c>
      <c r="H413" s="139">
        <v>0</v>
      </c>
      <c r="I413" s="139">
        <v>0</v>
      </c>
      <c r="J413" s="139">
        <v>0</v>
      </c>
      <c r="K413" s="139">
        <v>0</v>
      </c>
      <c r="L413" s="139">
        <v>0</v>
      </c>
      <c r="M413" s="139">
        <v>0</v>
      </c>
      <c r="N413" s="139">
        <v>0</v>
      </c>
      <c r="O413" s="139">
        <v>0</v>
      </c>
      <c r="P413" s="139">
        <v>0</v>
      </c>
      <c r="Q413" s="139">
        <v>0</v>
      </c>
      <c r="R413" s="139">
        <v>0</v>
      </c>
      <c r="S413" s="139">
        <v>0</v>
      </c>
      <c r="T413" s="139">
        <v>0</v>
      </c>
      <c r="U413" s="139">
        <v>0</v>
      </c>
      <c r="V413" s="139">
        <v>0</v>
      </c>
      <c r="W413" s="139">
        <v>0</v>
      </c>
      <c r="X413" s="139">
        <v>0</v>
      </c>
      <c r="Y413" s="139">
        <v>0</v>
      </c>
      <c r="Z413" s="139">
        <v>0</v>
      </c>
      <c r="AA413" s="139">
        <v>0</v>
      </c>
      <c r="AB413" s="139">
        <v>0</v>
      </c>
      <c r="AC413" s="139">
        <v>0</v>
      </c>
      <c r="AD413" s="139">
        <v>0</v>
      </c>
      <c r="AE413" s="139">
        <v>0</v>
      </c>
      <c r="AF413" s="139">
        <v>0</v>
      </c>
      <c r="AG413" s="139">
        <v>0</v>
      </c>
      <c r="AH413" s="139">
        <v>0</v>
      </c>
      <c r="AI413" s="139">
        <v>0</v>
      </c>
      <c r="AJ413" s="139">
        <v>0</v>
      </c>
      <c r="AK413" s="139">
        <v>0</v>
      </c>
      <c r="AL413" s="139">
        <v>0</v>
      </c>
      <c r="AM413" s="139">
        <v>0</v>
      </c>
      <c r="AN413" s="139">
        <v>0</v>
      </c>
      <c r="AO413" s="139">
        <v>0</v>
      </c>
      <c r="AP413" s="139">
        <v>0</v>
      </c>
      <c r="AQ413" s="139">
        <v>0</v>
      </c>
      <c r="AR413" s="139">
        <v>25200</v>
      </c>
      <c r="AS413" s="139">
        <v>25200</v>
      </c>
      <c r="AT413" s="139">
        <v>25200</v>
      </c>
      <c r="AU413" s="139">
        <v>25200</v>
      </c>
      <c r="AV413" s="140"/>
    </row>
    <row r="414" spans="2:48" ht="15.75" customHeight="1" x14ac:dyDescent="0.2">
      <c r="B414" s="136" t="s">
        <v>395</v>
      </c>
      <c r="C414" s="137">
        <v>0</v>
      </c>
      <c r="D414" s="138">
        <v>0</v>
      </c>
      <c r="E414" s="139">
        <v>0</v>
      </c>
      <c r="F414" s="139">
        <v>0</v>
      </c>
      <c r="G414" s="139">
        <v>0</v>
      </c>
      <c r="H414" s="139">
        <v>0</v>
      </c>
      <c r="I414" s="139">
        <v>0</v>
      </c>
      <c r="J414" s="139">
        <v>0</v>
      </c>
      <c r="K414" s="139">
        <v>0</v>
      </c>
      <c r="L414" s="139">
        <v>0</v>
      </c>
      <c r="M414" s="139">
        <v>0</v>
      </c>
      <c r="N414" s="139">
        <v>0</v>
      </c>
      <c r="O414" s="139">
        <v>0</v>
      </c>
      <c r="P414" s="139">
        <v>0</v>
      </c>
      <c r="Q414" s="139">
        <v>0</v>
      </c>
      <c r="R414" s="139">
        <v>0</v>
      </c>
      <c r="S414" s="139">
        <v>0</v>
      </c>
      <c r="T414" s="139">
        <v>0</v>
      </c>
      <c r="U414" s="139">
        <v>0</v>
      </c>
      <c r="V414" s="139">
        <v>0</v>
      </c>
      <c r="W414" s="139">
        <v>0</v>
      </c>
      <c r="X414" s="139">
        <v>0</v>
      </c>
      <c r="Y414" s="139">
        <v>0</v>
      </c>
      <c r="Z414" s="139">
        <v>0</v>
      </c>
      <c r="AA414" s="139">
        <v>0</v>
      </c>
      <c r="AB414" s="139">
        <v>0</v>
      </c>
      <c r="AC414" s="139">
        <v>0</v>
      </c>
      <c r="AD414" s="139">
        <v>0</v>
      </c>
      <c r="AE414" s="139">
        <v>0</v>
      </c>
      <c r="AF414" s="139">
        <v>0</v>
      </c>
      <c r="AG414" s="139">
        <v>0</v>
      </c>
      <c r="AH414" s="139">
        <v>0</v>
      </c>
      <c r="AI414" s="139">
        <v>0</v>
      </c>
      <c r="AJ414" s="139">
        <v>0</v>
      </c>
      <c r="AK414" s="139">
        <v>0</v>
      </c>
      <c r="AL414" s="139">
        <v>0</v>
      </c>
      <c r="AM414" s="139">
        <v>0</v>
      </c>
      <c r="AN414" s="139">
        <v>0</v>
      </c>
      <c r="AO414" s="139">
        <v>0</v>
      </c>
      <c r="AP414" s="139">
        <v>0</v>
      </c>
      <c r="AQ414" s="139">
        <v>0</v>
      </c>
      <c r="AR414" s="139">
        <v>9600</v>
      </c>
      <c r="AS414" s="139">
        <v>9600</v>
      </c>
      <c r="AT414" s="139">
        <v>9600</v>
      </c>
      <c r="AU414" s="139">
        <v>9600</v>
      </c>
      <c r="AV414" s="140"/>
    </row>
    <row r="415" spans="2:48" ht="15.75" customHeight="1" x14ac:dyDescent="0.2">
      <c r="B415" s="136" t="s">
        <v>396</v>
      </c>
      <c r="C415" s="137">
        <v>0</v>
      </c>
      <c r="D415" s="138">
        <v>0</v>
      </c>
      <c r="E415" s="139">
        <v>0</v>
      </c>
      <c r="F415" s="139">
        <v>0</v>
      </c>
      <c r="G415" s="139">
        <v>0</v>
      </c>
      <c r="H415" s="139">
        <v>0</v>
      </c>
      <c r="I415" s="139">
        <v>0</v>
      </c>
      <c r="J415" s="139">
        <v>0</v>
      </c>
      <c r="K415" s="139">
        <v>0</v>
      </c>
      <c r="L415" s="139">
        <v>0</v>
      </c>
      <c r="M415" s="139">
        <v>0</v>
      </c>
      <c r="N415" s="139">
        <v>0</v>
      </c>
      <c r="O415" s="139">
        <v>0</v>
      </c>
      <c r="P415" s="139">
        <v>0</v>
      </c>
      <c r="Q415" s="139">
        <v>0</v>
      </c>
      <c r="R415" s="139">
        <v>0</v>
      </c>
      <c r="S415" s="139">
        <v>0</v>
      </c>
      <c r="T415" s="139">
        <v>0</v>
      </c>
      <c r="U415" s="139">
        <v>0</v>
      </c>
      <c r="V415" s="139">
        <v>0</v>
      </c>
      <c r="W415" s="139">
        <v>0</v>
      </c>
      <c r="X415" s="139">
        <v>0</v>
      </c>
      <c r="Y415" s="139">
        <v>0</v>
      </c>
      <c r="Z415" s="139">
        <v>0</v>
      </c>
      <c r="AA415" s="139">
        <v>0</v>
      </c>
      <c r="AB415" s="139">
        <v>0</v>
      </c>
      <c r="AC415" s="139">
        <v>0</v>
      </c>
      <c r="AD415" s="139">
        <v>0</v>
      </c>
      <c r="AE415" s="139">
        <v>0</v>
      </c>
      <c r="AF415" s="139">
        <v>0</v>
      </c>
      <c r="AG415" s="139">
        <v>0</v>
      </c>
      <c r="AH415" s="139">
        <v>0</v>
      </c>
      <c r="AI415" s="139">
        <v>0</v>
      </c>
      <c r="AJ415" s="139">
        <v>0</v>
      </c>
      <c r="AK415" s="139">
        <v>0</v>
      </c>
      <c r="AL415" s="139">
        <v>0</v>
      </c>
      <c r="AM415" s="139">
        <v>0</v>
      </c>
      <c r="AN415" s="139">
        <v>0</v>
      </c>
      <c r="AO415" s="139">
        <v>0</v>
      </c>
      <c r="AP415" s="139">
        <v>0</v>
      </c>
      <c r="AQ415" s="139">
        <v>0</v>
      </c>
      <c r="AR415" s="139">
        <v>24000</v>
      </c>
      <c r="AS415" s="139">
        <v>24000</v>
      </c>
      <c r="AT415" s="139">
        <v>24000</v>
      </c>
      <c r="AU415" s="139">
        <v>24000</v>
      </c>
      <c r="AV415" s="140"/>
    </row>
    <row r="416" spans="2:48" ht="15.75" customHeight="1" x14ac:dyDescent="0.2">
      <c r="B416" s="136" t="s">
        <v>397</v>
      </c>
      <c r="C416" s="137">
        <v>0</v>
      </c>
      <c r="D416" s="138">
        <v>0</v>
      </c>
      <c r="E416" s="139">
        <v>0</v>
      </c>
      <c r="F416" s="139">
        <v>0</v>
      </c>
      <c r="G416" s="139">
        <v>0</v>
      </c>
      <c r="H416" s="139">
        <v>0</v>
      </c>
      <c r="I416" s="139">
        <v>0</v>
      </c>
      <c r="J416" s="139">
        <v>0</v>
      </c>
      <c r="K416" s="139">
        <v>0</v>
      </c>
      <c r="L416" s="139">
        <v>0</v>
      </c>
      <c r="M416" s="139">
        <v>0</v>
      </c>
      <c r="N416" s="139">
        <v>0</v>
      </c>
      <c r="O416" s="139">
        <v>0</v>
      </c>
      <c r="P416" s="139">
        <v>0</v>
      </c>
      <c r="Q416" s="139">
        <v>0</v>
      </c>
      <c r="R416" s="139">
        <v>0</v>
      </c>
      <c r="S416" s="139">
        <v>0</v>
      </c>
      <c r="T416" s="139">
        <v>0</v>
      </c>
      <c r="U416" s="139">
        <v>0</v>
      </c>
      <c r="V416" s="139">
        <v>0</v>
      </c>
      <c r="W416" s="139">
        <v>0</v>
      </c>
      <c r="X416" s="139">
        <v>0</v>
      </c>
      <c r="Y416" s="139">
        <v>0</v>
      </c>
      <c r="Z416" s="139">
        <v>0</v>
      </c>
      <c r="AA416" s="139">
        <v>0</v>
      </c>
      <c r="AB416" s="139">
        <v>0</v>
      </c>
      <c r="AC416" s="139">
        <v>0</v>
      </c>
      <c r="AD416" s="139">
        <v>0</v>
      </c>
      <c r="AE416" s="139">
        <v>0</v>
      </c>
      <c r="AF416" s="139">
        <v>0</v>
      </c>
      <c r="AG416" s="139">
        <v>0</v>
      </c>
      <c r="AH416" s="139">
        <v>0</v>
      </c>
      <c r="AI416" s="139">
        <v>0</v>
      </c>
      <c r="AJ416" s="139">
        <v>0</v>
      </c>
      <c r="AK416" s="139">
        <v>0</v>
      </c>
      <c r="AL416" s="139">
        <v>0</v>
      </c>
      <c r="AM416" s="139">
        <v>0</v>
      </c>
      <c r="AN416" s="139">
        <v>0</v>
      </c>
      <c r="AO416" s="139">
        <v>0</v>
      </c>
      <c r="AP416" s="139">
        <v>0</v>
      </c>
      <c r="AQ416" s="139">
        <v>0</v>
      </c>
      <c r="AR416" s="139">
        <v>10800</v>
      </c>
      <c r="AS416" s="139">
        <v>10800</v>
      </c>
      <c r="AT416" s="139">
        <v>10800</v>
      </c>
      <c r="AU416" s="139">
        <v>10800</v>
      </c>
      <c r="AV416" s="140"/>
    </row>
    <row r="417" spans="1:48" ht="15.75" customHeight="1" x14ac:dyDescent="0.2">
      <c r="A417" s="27"/>
      <c r="B417" s="136" t="s">
        <v>398</v>
      </c>
      <c r="C417" s="137">
        <v>0</v>
      </c>
      <c r="D417" s="138">
        <v>0</v>
      </c>
      <c r="E417" s="139">
        <v>0</v>
      </c>
      <c r="F417" s="139">
        <v>0</v>
      </c>
      <c r="G417" s="139">
        <v>0</v>
      </c>
      <c r="H417" s="139">
        <v>0</v>
      </c>
      <c r="I417" s="139">
        <v>0</v>
      </c>
      <c r="J417" s="139">
        <v>0</v>
      </c>
      <c r="K417" s="139">
        <v>0</v>
      </c>
      <c r="L417" s="139">
        <v>0</v>
      </c>
      <c r="M417" s="139">
        <v>0</v>
      </c>
      <c r="N417" s="139">
        <v>0</v>
      </c>
      <c r="O417" s="139">
        <v>0</v>
      </c>
      <c r="P417" s="139">
        <v>0</v>
      </c>
      <c r="Q417" s="139">
        <v>0</v>
      </c>
      <c r="R417" s="139">
        <v>0</v>
      </c>
      <c r="S417" s="139">
        <v>0</v>
      </c>
      <c r="T417" s="139">
        <v>0</v>
      </c>
      <c r="U417" s="139">
        <v>0</v>
      </c>
      <c r="V417" s="139">
        <v>0</v>
      </c>
      <c r="W417" s="139">
        <v>0</v>
      </c>
      <c r="X417" s="139">
        <v>0</v>
      </c>
      <c r="Y417" s="139">
        <v>0</v>
      </c>
      <c r="Z417" s="139">
        <v>0</v>
      </c>
      <c r="AA417" s="139">
        <v>0</v>
      </c>
      <c r="AB417" s="139">
        <v>0</v>
      </c>
      <c r="AC417" s="139">
        <v>0</v>
      </c>
      <c r="AD417" s="139">
        <v>0</v>
      </c>
      <c r="AE417" s="139">
        <v>0</v>
      </c>
      <c r="AF417" s="139">
        <v>0</v>
      </c>
      <c r="AG417" s="139">
        <v>0</v>
      </c>
      <c r="AH417" s="139">
        <v>0</v>
      </c>
      <c r="AI417" s="139">
        <v>0</v>
      </c>
      <c r="AJ417" s="139">
        <v>0</v>
      </c>
      <c r="AK417" s="139">
        <v>0</v>
      </c>
      <c r="AL417" s="139">
        <v>0</v>
      </c>
      <c r="AM417" s="139">
        <v>0</v>
      </c>
      <c r="AN417" s="139">
        <v>0</v>
      </c>
      <c r="AO417" s="139">
        <v>0</v>
      </c>
      <c r="AP417" s="139">
        <v>0</v>
      </c>
      <c r="AQ417" s="139">
        <v>0</v>
      </c>
      <c r="AR417" s="139">
        <v>0</v>
      </c>
      <c r="AS417" s="139">
        <v>9600</v>
      </c>
      <c r="AT417" s="139">
        <v>9600</v>
      </c>
      <c r="AU417" s="139">
        <v>9600</v>
      </c>
      <c r="AV417" s="140"/>
    </row>
    <row r="418" spans="1:48" ht="15.75" customHeight="1" x14ac:dyDescent="0.2">
      <c r="A418" s="27"/>
      <c r="B418" s="136" t="s">
        <v>399</v>
      </c>
      <c r="C418" s="137">
        <v>0</v>
      </c>
      <c r="D418" s="138">
        <v>0</v>
      </c>
      <c r="E418" s="139">
        <v>0</v>
      </c>
      <c r="F418" s="139">
        <v>0</v>
      </c>
      <c r="G418" s="139">
        <v>0</v>
      </c>
      <c r="H418" s="139">
        <v>0</v>
      </c>
      <c r="I418" s="139">
        <v>0</v>
      </c>
      <c r="J418" s="139">
        <v>0</v>
      </c>
      <c r="K418" s="139">
        <v>0</v>
      </c>
      <c r="L418" s="139">
        <v>0</v>
      </c>
      <c r="M418" s="139">
        <v>0</v>
      </c>
      <c r="N418" s="139">
        <v>0</v>
      </c>
      <c r="O418" s="139">
        <v>0</v>
      </c>
      <c r="P418" s="139">
        <v>0</v>
      </c>
      <c r="Q418" s="139">
        <v>0</v>
      </c>
      <c r="R418" s="139">
        <v>0</v>
      </c>
      <c r="S418" s="139">
        <v>0</v>
      </c>
      <c r="T418" s="139">
        <v>0</v>
      </c>
      <c r="U418" s="139">
        <v>0</v>
      </c>
      <c r="V418" s="139">
        <v>0</v>
      </c>
      <c r="W418" s="139">
        <v>0</v>
      </c>
      <c r="X418" s="139">
        <v>0</v>
      </c>
      <c r="Y418" s="139">
        <v>0</v>
      </c>
      <c r="Z418" s="139">
        <v>0</v>
      </c>
      <c r="AA418" s="139">
        <v>0</v>
      </c>
      <c r="AB418" s="139">
        <v>0</v>
      </c>
      <c r="AC418" s="139">
        <v>0</v>
      </c>
      <c r="AD418" s="139">
        <v>0</v>
      </c>
      <c r="AE418" s="139">
        <v>0</v>
      </c>
      <c r="AF418" s="139">
        <v>0</v>
      </c>
      <c r="AG418" s="139">
        <v>0</v>
      </c>
      <c r="AH418" s="139">
        <v>0</v>
      </c>
      <c r="AI418" s="139">
        <v>0</v>
      </c>
      <c r="AJ418" s="139">
        <v>0</v>
      </c>
      <c r="AK418" s="139">
        <v>0</v>
      </c>
      <c r="AL418" s="139">
        <v>0</v>
      </c>
      <c r="AM418" s="139">
        <v>0</v>
      </c>
      <c r="AN418" s="139">
        <v>0</v>
      </c>
      <c r="AO418" s="139">
        <v>0</v>
      </c>
      <c r="AP418" s="139">
        <v>0</v>
      </c>
      <c r="AQ418" s="139">
        <v>0</v>
      </c>
      <c r="AR418" s="139">
        <v>0</v>
      </c>
      <c r="AS418" s="139">
        <v>18000</v>
      </c>
      <c r="AT418" s="139">
        <v>18000</v>
      </c>
      <c r="AU418" s="139">
        <v>18000</v>
      </c>
      <c r="AV418" s="140"/>
    </row>
    <row r="419" spans="1:48" ht="15.75" customHeight="1" x14ac:dyDescent="0.2">
      <c r="A419" s="27"/>
      <c r="B419" s="136" t="s">
        <v>400</v>
      </c>
      <c r="C419" s="137">
        <v>0</v>
      </c>
      <c r="D419" s="138">
        <v>0</v>
      </c>
      <c r="E419" s="139">
        <v>0</v>
      </c>
      <c r="F419" s="139">
        <v>0</v>
      </c>
      <c r="G419" s="139">
        <v>0</v>
      </c>
      <c r="H419" s="139">
        <v>0</v>
      </c>
      <c r="I419" s="139">
        <v>0</v>
      </c>
      <c r="J419" s="139">
        <v>0</v>
      </c>
      <c r="K419" s="139">
        <v>0</v>
      </c>
      <c r="L419" s="139">
        <v>0</v>
      </c>
      <c r="M419" s="139">
        <v>0</v>
      </c>
      <c r="N419" s="139">
        <v>0</v>
      </c>
      <c r="O419" s="139">
        <v>0</v>
      </c>
      <c r="P419" s="139">
        <v>0</v>
      </c>
      <c r="Q419" s="139">
        <v>0</v>
      </c>
      <c r="R419" s="139">
        <v>0</v>
      </c>
      <c r="S419" s="139">
        <v>0</v>
      </c>
      <c r="T419" s="139">
        <v>0</v>
      </c>
      <c r="U419" s="139">
        <v>0</v>
      </c>
      <c r="V419" s="139">
        <v>0</v>
      </c>
      <c r="W419" s="139">
        <v>0</v>
      </c>
      <c r="X419" s="139">
        <v>0</v>
      </c>
      <c r="Y419" s="139">
        <v>0</v>
      </c>
      <c r="Z419" s="139">
        <v>0</v>
      </c>
      <c r="AA419" s="139">
        <v>0</v>
      </c>
      <c r="AB419" s="139">
        <v>0</v>
      </c>
      <c r="AC419" s="139">
        <v>0</v>
      </c>
      <c r="AD419" s="139">
        <v>0</v>
      </c>
      <c r="AE419" s="139">
        <v>0</v>
      </c>
      <c r="AF419" s="139">
        <v>0</v>
      </c>
      <c r="AG419" s="139">
        <v>0</v>
      </c>
      <c r="AH419" s="139">
        <v>0</v>
      </c>
      <c r="AI419" s="139">
        <v>0</v>
      </c>
      <c r="AJ419" s="139">
        <v>0</v>
      </c>
      <c r="AK419" s="139">
        <v>0</v>
      </c>
      <c r="AL419" s="139">
        <v>0</v>
      </c>
      <c r="AM419" s="139">
        <v>0</v>
      </c>
      <c r="AN419" s="139">
        <v>0</v>
      </c>
      <c r="AO419" s="139">
        <v>0</v>
      </c>
      <c r="AP419" s="139">
        <v>0</v>
      </c>
      <c r="AQ419" s="139">
        <v>0</v>
      </c>
      <c r="AR419" s="139">
        <v>0</v>
      </c>
      <c r="AS419" s="139">
        <v>14364</v>
      </c>
      <c r="AT419" s="139">
        <v>14364</v>
      </c>
      <c r="AU419" s="139">
        <v>14364</v>
      </c>
      <c r="AV419" s="140"/>
    </row>
    <row r="420" spans="1:48" ht="15.75" customHeight="1" x14ac:dyDescent="0.2">
      <c r="A420" s="27"/>
      <c r="B420" s="136" t="s">
        <v>401</v>
      </c>
      <c r="C420" s="137">
        <v>0</v>
      </c>
      <c r="D420" s="138">
        <v>0</v>
      </c>
      <c r="E420" s="139">
        <v>0</v>
      </c>
      <c r="F420" s="139">
        <v>0</v>
      </c>
      <c r="G420" s="139">
        <v>0</v>
      </c>
      <c r="H420" s="139">
        <v>0</v>
      </c>
      <c r="I420" s="139">
        <v>0</v>
      </c>
      <c r="J420" s="139">
        <v>0</v>
      </c>
      <c r="K420" s="139">
        <v>0</v>
      </c>
      <c r="L420" s="139">
        <v>0</v>
      </c>
      <c r="M420" s="139">
        <v>0</v>
      </c>
      <c r="N420" s="139">
        <v>0</v>
      </c>
      <c r="O420" s="139">
        <v>0</v>
      </c>
      <c r="P420" s="139">
        <v>0</v>
      </c>
      <c r="Q420" s="139">
        <v>0</v>
      </c>
      <c r="R420" s="139">
        <v>0</v>
      </c>
      <c r="S420" s="139">
        <v>0</v>
      </c>
      <c r="T420" s="139">
        <v>0</v>
      </c>
      <c r="U420" s="139">
        <v>0</v>
      </c>
      <c r="V420" s="139">
        <v>0</v>
      </c>
      <c r="W420" s="139">
        <v>0</v>
      </c>
      <c r="X420" s="139">
        <v>0</v>
      </c>
      <c r="Y420" s="139">
        <v>0</v>
      </c>
      <c r="Z420" s="139">
        <v>0</v>
      </c>
      <c r="AA420" s="139">
        <v>0</v>
      </c>
      <c r="AB420" s="139">
        <v>0</v>
      </c>
      <c r="AC420" s="139">
        <v>0</v>
      </c>
      <c r="AD420" s="139">
        <v>0</v>
      </c>
      <c r="AE420" s="139">
        <v>0</v>
      </c>
      <c r="AF420" s="139">
        <v>0</v>
      </c>
      <c r="AG420" s="139">
        <v>0</v>
      </c>
      <c r="AH420" s="139">
        <v>0</v>
      </c>
      <c r="AI420" s="139">
        <v>0</v>
      </c>
      <c r="AJ420" s="139">
        <v>0</v>
      </c>
      <c r="AK420" s="139">
        <v>0</v>
      </c>
      <c r="AL420" s="139">
        <v>0</v>
      </c>
      <c r="AM420" s="139">
        <v>0</v>
      </c>
      <c r="AN420" s="139">
        <v>0</v>
      </c>
      <c r="AO420" s="139">
        <v>0</v>
      </c>
      <c r="AP420" s="139">
        <v>0</v>
      </c>
      <c r="AQ420" s="139">
        <v>0</v>
      </c>
      <c r="AR420" s="139">
        <v>0</v>
      </c>
      <c r="AS420" s="139">
        <v>42312</v>
      </c>
      <c r="AT420" s="139">
        <v>42312</v>
      </c>
      <c r="AU420" s="139">
        <v>42312</v>
      </c>
      <c r="AV420" s="140"/>
    </row>
    <row r="421" spans="1:48" ht="15.75" customHeight="1" x14ac:dyDescent="0.2">
      <c r="A421" s="27"/>
      <c r="B421" s="136" t="s">
        <v>402</v>
      </c>
      <c r="C421" s="137">
        <v>0</v>
      </c>
      <c r="D421" s="138">
        <v>0</v>
      </c>
      <c r="E421" s="139">
        <v>0</v>
      </c>
      <c r="F421" s="139">
        <v>0</v>
      </c>
      <c r="G421" s="139">
        <v>0</v>
      </c>
      <c r="H421" s="139">
        <v>0</v>
      </c>
      <c r="I421" s="139">
        <v>0</v>
      </c>
      <c r="J421" s="139">
        <v>0</v>
      </c>
      <c r="K421" s="139">
        <v>0</v>
      </c>
      <c r="L421" s="139">
        <v>0</v>
      </c>
      <c r="M421" s="139">
        <v>0</v>
      </c>
      <c r="N421" s="139">
        <v>0</v>
      </c>
      <c r="O421" s="139">
        <v>0</v>
      </c>
      <c r="P421" s="139">
        <v>0</v>
      </c>
      <c r="Q421" s="139">
        <v>0</v>
      </c>
      <c r="R421" s="139">
        <v>0</v>
      </c>
      <c r="S421" s="139">
        <v>0</v>
      </c>
      <c r="T421" s="139">
        <v>0</v>
      </c>
      <c r="U421" s="139">
        <v>0</v>
      </c>
      <c r="V421" s="139">
        <v>0</v>
      </c>
      <c r="W421" s="139">
        <v>0</v>
      </c>
      <c r="X421" s="139">
        <v>0</v>
      </c>
      <c r="Y421" s="139">
        <v>0</v>
      </c>
      <c r="Z421" s="139">
        <v>0</v>
      </c>
      <c r="AA421" s="139">
        <v>0</v>
      </c>
      <c r="AB421" s="139">
        <v>0</v>
      </c>
      <c r="AC421" s="139">
        <v>0</v>
      </c>
      <c r="AD421" s="139">
        <v>0</v>
      </c>
      <c r="AE421" s="139">
        <v>0</v>
      </c>
      <c r="AF421" s="139">
        <v>0</v>
      </c>
      <c r="AG421" s="139">
        <v>0</v>
      </c>
      <c r="AH421" s="139">
        <v>0</v>
      </c>
      <c r="AI421" s="139">
        <v>0</v>
      </c>
      <c r="AJ421" s="139">
        <v>0</v>
      </c>
      <c r="AK421" s="139">
        <v>0</v>
      </c>
      <c r="AL421" s="139">
        <v>0</v>
      </c>
      <c r="AM421" s="139">
        <v>0</v>
      </c>
      <c r="AN421" s="139">
        <v>0</v>
      </c>
      <c r="AO421" s="139">
        <v>0</v>
      </c>
      <c r="AP421" s="139">
        <v>0</v>
      </c>
      <c r="AQ421" s="139">
        <v>0</v>
      </c>
      <c r="AR421" s="139">
        <v>0</v>
      </c>
      <c r="AS421" s="139">
        <v>37000</v>
      </c>
      <c r="AT421" s="139">
        <v>37000</v>
      </c>
      <c r="AU421" s="139">
        <v>37000</v>
      </c>
      <c r="AV421" s="140"/>
    </row>
    <row r="422" spans="1:48" ht="15.75" customHeight="1" x14ac:dyDescent="0.2">
      <c r="A422" s="27"/>
      <c r="B422" s="136" t="s">
        <v>403</v>
      </c>
      <c r="C422" s="137">
        <v>0</v>
      </c>
      <c r="D422" s="138">
        <v>0</v>
      </c>
      <c r="E422" s="139">
        <v>0</v>
      </c>
      <c r="F422" s="139">
        <v>0</v>
      </c>
      <c r="G422" s="139">
        <v>0</v>
      </c>
      <c r="H422" s="139">
        <v>0</v>
      </c>
      <c r="I422" s="139">
        <v>0</v>
      </c>
      <c r="J422" s="139">
        <v>0</v>
      </c>
      <c r="K422" s="139">
        <v>0</v>
      </c>
      <c r="L422" s="139">
        <v>0</v>
      </c>
      <c r="M422" s="139">
        <v>0</v>
      </c>
      <c r="N422" s="139">
        <v>0</v>
      </c>
      <c r="O422" s="139">
        <v>0</v>
      </c>
      <c r="P422" s="139">
        <v>0</v>
      </c>
      <c r="Q422" s="139">
        <v>0</v>
      </c>
      <c r="R422" s="139">
        <v>0</v>
      </c>
      <c r="S422" s="139">
        <v>0</v>
      </c>
      <c r="T422" s="139">
        <v>0</v>
      </c>
      <c r="U422" s="139">
        <v>0</v>
      </c>
      <c r="V422" s="139">
        <v>0</v>
      </c>
      <c r="W422" s="139">
        <v>0</v>
      </c>
      <c r="X422" s="139">
        <v>0</v>
      </c>
      <c r="Y422" s="139">
        <v>0</v>
      </c>
      <c r="Z422" s="139">
        <v>0</v>
      </c>
      <c r="AA422" s="139">
        <v>0</v>
      </c>
      <c r="AB422" s="139">
        <v>0</v>
      </c>
      <c r="AC422" s="139">
        <v>0</v>
      </c>
      <c r="AD422" s="139">
        <v>0</v>
      </c>
      <c r="AE422" s="139">
        <v>0</v>
      </c>
      <c r="AF422" s="139">
        <v>0</v>
      </c>
      <c r="AG422" s="139">
        <v>0</v>
      </c>
      <c r="AH422" s="139">
        <v>0</v>
      </c>
      <c r="AI422" s="139">
        <v>0</v>
      </c>
      <c r="AJ422" s="139">
        <v>0</v>
      </c>
      <c r="AK422" s="139">
        <v>0</v>
      </c>
      <c r="AL422" s="139">
        <v>0</v>
      </c>
      <c r="AM422" s="139">
        <v>0</v>
      </c>
      <c r="AN422" s="139">
        <v>0</v>
      </c>
      <c r="AO422" s="139">
        <v>0</v>
      </c>
      <c r="AP422" s="139">
        <v>0</v>
      </c>
      <c r="AQ422" s="139">
        <v>0</v>
      </c>
      <c r="AR422" s="139">
        <v>0</v>
      </c>
      <c r="AS422" s="139">
        <v>17520</v>
      </c>
      <c r="AT422" s="139">
        <v>17520</v>
      </c>
      <c r="AU422" s="139">
        <v>17520</v>
      </c>
      <c r="AV422" s="140"/>
    </row>
    <row r="423" spans="1:48" ht="15.75" customHeight="1" x14ac:dyDescent="0.2">
      <c r="A423" s="27"/>
      <c r="B423" s="136" t="s">
        <v>404</v>
      </c>
      <c r="C423" s="137">
        <v>0</v>
      </c>
      <c r="D423" s="138">
        <v>0</v>
      </c>
      <c r="E423" s="139">
        <v>0</v>
      </c>
      <c r="F423" s="139">
        <v>0</v>
      </c>
      <c r="G423" s="139">
        <v>0</v>
      </c>
      <c r="H423" s="139">
        <v>0</v>
      </c>
      <c r="I423" s="139">
        <v>0</v>
      </c>
      <c r="J423" s="139">
        <v>0</v>
      </c>
      <c r="K423" s="139">
        <v>0</v>
      </c>
      <c r="L423" s="139">
        <v>0</v>
      </c>
      <c r="M423" s="139">
        <v>0</v>
      </c>
      <c r="N423" s="139">
        <v>0</v>
      </c>
      <c r="O423" s="139">
        <v>0</v>
      </c>
      <c r="P423" s="139">
        <v>0</v>
      </c>
      <c r="Q423" s="139">
        <v>0</v>
      </c>
      <c r="R423" s="139">
        <v>0</v>
      </c>
      <c r="S423" s="139">
        <v>0</v>
      </c>
      <c r="T423" s="139">
        <v>0</v>
      </c>
      <c r="U423" s="139">
        <v>0</v>
      </c>
      <c r="V423" s="139">
        <v>0</v>
      </c>
      <c r="W423" s="139">
        <v>0</v>
      </c>
      <c r="X423" s="139">
        <v>0</v>
      </c>
      <c r="Y423" s="139">
        <v>0</v>
      </c>
      <c r="Z423" s="139">
        <v>0</v>
      </c>
      <c r="AA423" s="139">
        <v>0</v>
      </c>
      <c r="AB423" s="139">
        <v>0</v>
      </c>
      <c r="AC423" s="139">
        <v>0</v>
      </c>
      <c r="AD423" s="139">
        <v>0</v>
      </c>
      <c r="AE423" s="139">
        <v>0</v>
      </c>
      <c r="AF423" s="139">
        <v>0</v>
      </c>
      <c r="AG423" s="139">
        <v>0</v>
      </c>
      <c r="AH423" s="139">
        <v>0</v>
      </c>
      <c r="AI423" s="139">
        <v>0</v>
      </c>
      <c r="AJ423" s="139">
        <v>0</v>
      </c>
      <c r="AK423" s="139">
        <v>0</v>
      </c>
      <c r="AL423" s="139">
        <v>0</v>
      </c>
      <c r="AM423" s="139">
        <v>0</v>
      </c>
      <c r="AN423" s="139">
        <v>0</v>
      </c>
      <c r="AO423" s="139">
        <v>0</v>
      </c>
      <c r="AP423" s="139">
        <v>0</v>
      </c>
      <c r="AQ423" s="139">
        <v>0</v>
      </c>
      <c r="AR423" s="139">
        <v>0</v>
      </c>
      <c r="AS423" s="139">
        <v>21000</v>
      </c>
      <c r="AT423" s="139">
        <v>21000</v>
      </c>
      <c r="AU423" s="139">
        <v>21000</v>
      </c>
      <c r="AV423" s="140"/>
    </row>
    <row r="424" spans="1:48" ht="15.75" customHeight="1" x14ac:dyDescent="0.2">
      <c r="A424" s="27"/>
      <c r="B424" s="136" t="s">
        <v>405</v>
      </c>
      <c r="C424" s="137">
        <v>0</v>
      </c>
      <c r="D424" s="138">
        <v>0</v>
      </c>
      <c r="E424" s="139">
        <v>0</v>
      </c>
      <c r="F424" s="139">
        <v>0</v>
      </c>
      <c r="G424" s="139">
        <v>0</v>
      </c>
      <c r="H424" s="139">
        <v>0</v>
      </c>
      <c r="I424" s="139">
        <v>0</v>
      </c>
      <c r="J424" s="139">
        <v>0</v>
      </c>
      <c r="K424" s="139">
        <v>0</v>
      </c>
      <c r="L424" s="139">
        <v>0</v>
      </c>
      <c r="M424" s="139">
        <v>0</v>
      </c>
      <c r="N424" s="139">
        <v>0</v>
      </c>
      <c r="O424" s="139">
        <v>0</v>
      </c>
      <c r="P424" s="139">
        <v>0</v>
      </c>
      <c r="Q424" s="139">
        <v>0</v>
      </c>
      <c r="R424" s="139">
        <v>0</v>
      </c>
      <c r="S424" s="139">
        <v>0</v>
      </c>
      <c r="T424" s="139">
        <v>0</v>
      </c>
      <c r="U424" s="139">
        <v>0</v>
      </c>
      <c r="V424" s="139">
        <v>0</v>
      </c>
      <c r="W424" s="139">
        <v>0</v>
      </c>
      <c r="X424" s="139">
        <v>0</v>
      </c>
      <c r="Y424" s="139">
        <v>0</v>
      </c>
      <c r="Z424" s="139">
        <v>0</v>
      </c>
      <c r="AA424" s="139">
        <v>0</v>
      </c>
      <c r="AB424" s="139">
        <v>0</v>
      </c>
      <c r="AC424" s="139">
        <v>0</v>
      </c>
      <c r="AD424" s="139">
        <v>0</v>
      </c>
      <c r="AE424" s="139">
        <v>0</v>
      </c>
      <c r="AF424" s="139">
        <v>0</v>
      </c>
      <c r="AG424" s="139">
        <v>0</v>
      </c>
      <c r="AH424" s="139">
        <v>0</v>
      </c>
      <c r="AI424" s="139">
        <v>0</v>
      </c>
      <c r="AJ424" s="139">
        <v>0</v>
      </c>
      <c r="AK424" s="139">
        <v>0</v>
      </c>
      <c r="AL424" s="139">
        <v>0</v>
      </c>
      <c r="AM424" s="139">
        <v>0</v>
      </c>
      <c r="AN424" s="139">
        <v>0</v>
      </c>
      <c r="AO424" s="139">
        <v>0</v>
      </c>
      <c r="AP424" s="139">
        <v>0</v>
      </c>
      <c r="AQ424" s="139">
        <v>0</v>
      </c>
      <c r="AR424" s="139">
        <v>0</v>
      </c>
      <c r="AS424" s="139">
        <v>14880</v>
      </c>
      <c r="AT424" s="139">
        <v>14880</v>
      </c>
      <c r="AU424" s="139">
        <v>14880</v>
      </c>
      <c r="AV424" s="140"/>
    </row>
    <row r="425" spans="1:48" ht="15.75" customHeight="1" x14ac:dyDescent="0.2">
      <c r="A425" s="27"/>
      <c r="B425" s="136" t="s">
        <v>406</v>
      </c>
      <c r="C425" s="137">
        <v>0</v>
      </c>
      <c r="D425" s="138">
        <v>0</v>
      </c>
      <c r="E425" s="139">
        <v>0</v>
      </c>
      <c r="F425" s="139">
        <v>0</v>
      </c>
      <c r="G425" s="139">
        <v>0</v>
      </c>
      <c r="H425" s="139">
        <v>0</v>
      </c>
      <c r="I425" s="139">
        <v>0</v>
      </c>
      <c r="J425" s="139">
        <v>0</v>
      </c>
      <c r="K425" s="139">
        <v>0</v>
      </c>
      <c r="L425" s="139">
        <v>0</v>
      </c>
      <c r="M425" s="139">
        <v>0</v>
      </c>
      <c r="N425" s="139">
        <v>0</v>
      </c>
      <c r="O425" s="139">
        <v>0</v>
      </c>
      <c r="P425" s="139">
        <v>0</v>
      </c>
      <c r="Q425" s="139">
        <v>0</v>
      </c>
      <c r="R425" s="139">
        <v>0</v>
      </c>
      <c r="S425" s="139">
        <v>0</v>
      </c>
      <c r="T425" s="139">
        <v>0</v>
      </c>
      <c r="U425" s="139">
        <v>0</v>
      </c>
      <c r="V425" s="139">
        <v>0</v>
      </c>
      <c r="W425" s="139">
        <v>0</v>
      </c>
      <c r="X425" s="139">
        <v>0</v>
      </c>
      <c r="Y425" s="139">
        <v>0</v>
      </c>
      <c r="Z425" s="139">
        <v>0</v>
      </c>
      <c r="AA425" s="139">
        <v>0</v>
      </c>
      <c r="AB425" s="139">
        <v>0</v>
      </c>
      <c r="AC425" s="139">
        <v>0</v>
      </c>
      <c r="AD425" s="139">
        <v>0</v>
      </c>
      <c r="AE425" s="139">
        <v>0</v>
      </c>
      <c r="AF425" s="139">
        <v>0</v>
      </c>
      <c r="AG425" s="139">
        <v>0</v>
      </c>
      <c r="AH425" s="139">
        <v>0</v>
      </c>
      <c r="AI425" s="139">
        <v>0</v>
      </c>
      <c r="AJ425" s="139">
        <v>0</v>
      </c>
      <c r="AK425" s="139">
        <v>0</v>
      </c>
      <c r="AL425" s="139">
        <v>0</v>
      </c>
      <c r="AM425" s="139">
        <v>0</v>
      </c>
      <c r="AN425" s="139">
        <v>0</v>
      </c>
      <c r="AO425" s="139">
        <v>0</v>
      </c>
      <c r="AP425" s="139">
        <v>0</v>
      </c>
      <c r="AQ425" s="139">
        <v>0</v>
      </c>
      <c r="AR425" s="139">
        <v>0</v>
      </c>
      <c r="AS425" s="139">
        <v>21000</v>
      </c>
      <c r="AT425" s="139">
        <v>21000</v>
      </c>
      <c r="AU425" s="139">
        <v>21000</v>
      </c>
      <c r="AV425" s="140"/>
    </row>
    <row r="426" spans="1:48" ht="15.75" customHeight="1" x14ac:dyDescent="0.2">
      <c r="A426" s="27"/>
      <c r="B426" s="136" t="s">
        <v>407</v>
      </c>
      <c r="C426" s="137">
        <v>0</v>
      </c>
      <c r="D426" s="138">
        <v>0</v>
      </c>
      <c r="E426" s="139">
        <v>0</v>
      </c>
      <c r="F426" s="139">
        <v>0</v>
      </c>
      <c r="G426" s="139">
        <v>0</v>
      </c>
      <c r="H426" s="139">
        <v>0</v>
      </c>
      <c r="I426" s="139">
        <v>0</v>
      </c>
      <c r="J426" s="139">
        <v>0</v>
      </c>
      <c r="K426" s="139">
        <v>0</v>
      </c>
      <c r="L426" s="139">
        <v>0</v>
      </c>
      <c r="M426" s="139">
        <v>0</v>
      </c>
      <c r="N426" s="139">
        <v>0</v>
      </c>
      <c r="O426" s="139">
        <v>0</v>
      </c>
      <c r="P426" s="139">
        <v>0</v>
      </c>
      <c r="Q426" s="139">
        <v>0</v>
      </c>
      <c r="R426" s="139">
        <v>0</v>
      </c>
      <c r="S426" s="139">
        <v>0</v>
      </c>
      <c r="T426" s="139">
        <v>0</v>
      </c>
      <c r="U426" s="139">
        <v>0</v>
      </c>
      <c r="V426" s="139">
        <v>0</v>
      </c>
      <c r="W426" s="139">
        <v>0</v>
      </c>
      <c r="X426" s="139">
        <v>0</v>
      </c>
      <c r="Y426" s="139">
        <v>0</v>
      </c>
      <c r="Z426" s="139">
        <v>0</v>
      </c>
      <c r="AA426" s="139">
        <v>0</v>
      </c>
      <c r="AB426" s="139">
        <v>0</v>
      </c>
      <c r="AC426" s="139">
        <v>0</v>
      </c>
      <c r="AD426" s="139">
        <v>0</v>
      </c>
      <c r="AE426" s="139">
        <v>0</v>
      </c>
      <c r="AF426" s="139">
        <v>0</v>
      </c>
      <c r="AG426" s="139">
        <v>0</v>
      </c>
      <c r="AH426" s="139">
        <v>0</v>
      </c>
      <c r="AI426" s="139">
        <v>0</v>
      </c>
      <c r="AJ426" s="139">
        <v>0</v>
      </c>
      <c r="AK426" s="139">
        <v>0</v>
      </c>
      <c r="AL426" s="139">
        <v>0</v>
      </c>
      <c r="AM426" s="139">
        <v>0</v>
      </c>
      <c r="AN426" s="139">
        <v>0</v>
      </c>
      <c r="AO426" s="139">
        <v>0</v>
      </c>
      <c r="AP426" s="139">
        <v>0</v>
      </c>
      <c r="AQ426" s="139">
        <v>0</v>
      </c>
      <c r="AR426" s="139">
        <v>0</v>
      </c>
      <c r="AS426" s="139">
        <v>9600</v>
      </c>
      <c r="AT426" s="139">
        <v>9600</v>
      </c>
      <c r="AU426" s="139">
        <v>9600</v>
      </c>
      <c r="AV426" s="140"/>
    </row>
    <row r="427" spans="1:48" ht="15.75" customHeight="1" x14ac:dyDescent="0.2">
      <c r="A427" s="27"/>
      <c r="B427" s="136" t="s">
        <v>408</v>
      </c>
      <c r="C427" s="137">
        <v>0</v>
      </c>
      <c r="D427" s="138">
        <v>0</v>
      </c>
      <c r="E427" s="139">
        <v>0</v>
      </c>
      <c r="F427" s="139">
        <v>0</v>
      </c>
      <c r="G427" s="139">
        <v>0</v>
      </c>
      <c r="H427" s="139">
        <v>0</v>
      </c>
      <c r="I427" s="139">
        <v>0</v>
      </c>
      <c r="J427" s="139">
        <v>0</v>
      </c>
      <c r="K427" s="139">
        <v>0</v>
      </c>
      <c r="L427" s="139">
        <v>0</v>
      </c>
      <c r="M427" s="139">
        <v>0</v>
      </c>
      <c r="N427" s="139">
        <v>0</v>
      </c>
      <c r="O427" s="139">
        <v>0</v>
      </c>
      <c r="P427" s="139">
        <v>0</v>
      </c>
      <c r="Q427" s="139">
        <v>0</v>
      </c>
      <c r="R427" s="139">
        <v>0</v>
      </c>
      <c r="S427" s="139">
        <v>0</v>
      </c>
      <c r="T427" s="139">
        <v>0</v>
      </c>
      <c r="U427" s="139">
        <v>0</v>
      </c>
      <c r="V427" s="139">
        <v>0</v>
      </c>
      <c r="W427" s="139">
        <v>0</v>
      </c>
      <c r="X427" s="139">
        <v>0</v>
      </c>
      <c r="Y427" s="139">
        <v>0</v>
      </c>
      <c r="Z427" s="139">
        <v>0</v>
      </c>
      <c r="AA427" s="139">
        <v>0</v>
      </c>
      <c r="AB427" s="139">
        <v>0</v>
      </c>
      <c r="AC427" s="139">
        <v>0</v>
      </c>
      <c r="AD427" s="139">
        <v>0</v>
      </c>
      <c r="AE427" s="139">
        <v>0</v>
      </c>
      <c r="AF427" s="139">
        <v>0</v>
      </c>
      <c r="AG427" s="139">
        <v>0</v>
      </c>
      <c r="AH427" s="139">
        <v>0</v>
      </c>
      <c r="AI427" s="139">
        <v>0</v>
      </c>
      <c r="AJ427" s="139">
        <v>0</v>
      </c>
      <c r="AK427" s="139">
        <v>0</v>
      </c>
      <c r="AL427" s="139">
        <v>0</v>
      </c>
      <c r="AM427" s="139">
        <v>0</v>
      </c>
      <c r="AN427" s="139">
        <v>0</v>
      </c>
      <c r="AO427" s="139">
        <v>0</v>
      </c>
      <c r="AP427" s="139">
        <v>0</v>
      </c>
      <c r="AQ427" s="139">
        <v>0</v>
      </c>
      <c r="AR427" s="139">
        <v>0</v>
      </c>
      <c r="AS427" s="139">
        <v>16440</v>
      </c>
      <c r="AT427" s="139">
        <v>16440</v>
      </c>
      <c r="AU427" s="139">
        <v>16440</v>
      </c>
      <c r="AV427" s="140"/>
    </row>
    <row r="428" spans="1:48" ht="15.75" customHeight="1" x14ac:dyDescent="0.2">
      <c r="A428" s="27"/>
      <c r="B428" s="136" t="s">
        <v>409</v>
      </c>
      <c r="C428" s="137">
        <v>0</v>
      </c>
      <c r="D428" s="138">
        <v>0</v>
      </c>
      <c r="E428" s="139">
        <v>0</v>
      </c>
      <c r="F428" s="139">
        <v>0</v>
      </c>
      <c r="G428" s="139">
        <v>0</v>
      </c>
      <c r="H428" s="139">
        <v>0</v>
      </c>
      <c r="I428" s="139">
        <v>0</v>
      </c>
      <c r="J428" s="139">
        <v>0</v>
      </c>
      <c r="K428" s="139">
        <v>0</v>
      </c>
      <c r="L428" s="139">
        <v>0</v>
      </c>
      <c r="M428" s="139">
        <v>0</v>
      </c>
      <c r="N428" s="139">
        <v>0</v>
      </c>
      <c r="O428" s="139">
        <v>0</v>
      </c>
      <c r="P428" s="139">
        <v>0</v>
      </c>
      <c r="Q428" s="139">
        <v>0</v>
      </c>
      <c r="R428" s="139">
        <v>0</v>
      </c>
      <c r="S428" s="139">
        <v>0</v>
      </c>
      <c r="T428" s="139">
        <v>0</v>
      </c>
      <c r="U428" s="139">
        <v>0</v>
      </c>
      <c r="V428" s="139">
        <v>0</v>
      </c>
      <c r="W428" s="139">
        <v>0</v>
      </c>
      <c r="X428" s="139">
        <v>0</v>
      </c>
      <c r="Y428" s="139">
        <v>0</v>
      </c>
      <c r="Z428" s="139">
        <v>0</v>
      </c>
      <c r="AA428" s="139">
        <v>0</v>
      </c>
      <c r="AB428" s="139">
        <v>0</v>
      </c>
      <c r="AC428" s="139">
        <v>0</v>
      </c>
      <c r="AD428" s="139">
        <v>0</v>
      </c>
      <c r="AE428" s="139">
        <v>0</v>
      </c>
      <c r="AF428" s="139">
        <v>0</v>
      </c>
      <c r="AG428" s="139">
        <v>0</v>
      </c>
      <c r="AH428" s="139">
        <v>0</v>
      </c>
      <c r="AI428" s="139">
        <v>0</v>
      </c>
      <c r="AJ428" s="139">
        <v>0</v>
      </c>
      <c r="AK428" s="139">
        <v>0</v>
      </c>
      <c r="AL428" s="139">
        <v>0</v>
      </c>
      <c r="AM428" s="139">
        <v>0</v>
      </c>
      <c r="AN428" s="139">
        <v>0</v>
      </c>
      <c r="AO428" s="139">
        <v>0</v>
      </c>
      <c r="AP428" s="139">
        <v>0</v>
      </c>
      <c r="AQ428" s="139">
        <v>0</v>
      </c>
      <c r="AR428" s="139">
        <v>0</v>
      </c>
      <c r="AS428" s="139">
        <v>14472</v>
      </c>
      <c r="AT428" s="139">
        <v>14472</v>
      </c>
      <c r="AU428" s="139">
        <v>14472</v>
      </c>
      <c r="AV428" s="140"/>
    </row>
    <row r="429" spans="1:48" ht="15.75" customHeight="1" x14ac:dyDescent="0.2">
      <c r="A429" s="27"/>
      <c r="B429" s="136" t="s">
        <v>410</v>
      </c>
      <c r="C429" s="137">
        <v>0</v>
      </c>
      <c r="D429" s="138">
        <v>0</v>
      </c>
      <c r="E429" s="139">
        <v>0</v>
      </c>
      <c r="F429" s="139">
        <v>0</v>
      </c>
      <c r="G429" s="139">
        <v>0</v>
      </c>
      <c r="H429" s="139">
        <v>0</v>
      </c>
      <c r="I429" s="139">
        <v>0</v>
      </c>
      <c r="J429" s="139">
        <v>0</v>
      </c>
      <c r="K429" s="139">
        <v>0</v>
      </c>
      <c r="L429" s="139">
        <v>0</v>
      </c>
      <c r="M429" s="139">
        <v>0</v>
      </c>
      <c r="N429" s="139">
        <v>0</v>
      </c>
      <c r="O429" s="139">
        <v>0</v>
      </c>
      <c r="P429" s="139">
        <v>0</v>
      </c>
      <c r="Q429" s="139">
        <v>0</v>
      </c>
      <c r="R429" s="139">
        <v>0</v>
      </c>
      <c r="S429" s="139">
        <v>0</v>
      </c>
      <c r="T429" s="139">
        <v>0</v>
      </c>
      <c r="U429" s="139">
        <v>0</v>
      </c>
      <c r="V429" s="139">
        <v>0</v>
      </c>
      <c r="W429" s="139">
        <v>0</v>
      </c>
      <c r="X429" s="139">
        <v>0</v>
      </c>
      <c r="Y429" s="139">
        <v>0</v>
      </c>
      <c r="Z429" s="139">
        <v>0</v>
      </c>
      <c r="AA429" s="139">
        <v>0</v>
      </c>
      <c r="AB429" s="139">
        <v>0</v>
      </c>
      <c r="AC429" s="139">
        <v>0</v>
      </c>
      <c r="AD429" s="139">
        <v>0</v>
      </c>
      <c r="AE429" s="139">
        <v>0</v>
      </c>
      <c r="AF429" s="139">
        <v>0</v>
      </c>
      <c r="AG429" s="139">
        <v>0</v>
      </c>
      <c r="AH429" s="139">
        <v>0</v>
      </c>
      <c r="AI429" s="139">
        <v>0</v>
      </c>
      <c r="AJ429" s="139">
        <v>0</v>
      </c>
      <c r="AK429" s="139">
        <v>0</v>
      </c>
      <c r="AL429" s="139">
        <v>0</v>
      </c>
      <c r="AM429" s="139">
        <v>0</v>
      </c>
      <c r="AN429" s="139">
        <v>0</v>
      </c>
      <c r="AO429" s="139">
        <v>0</v>
      </c>
      <c r="AP429" s="139">
        <v>0</v>
      </c>
      <c r="AQ429" s="139">
        <v>0</v>
      </c>
      <c r="AR429" s="139">
        <v>0</v>
      </c>
      <c r="AS429" s="139">
        <v>9600</v>
      </c>
      <c r="AT429" s="139">
        <v>9600</v>
      </c>
      <c r="AU429" s="139">
        <v>9600</v>
      </c>
      <c r="AV429" s="140"/>
    </row>
    <row r="430" spans="1:48" ht="15.75" customHeight="1" x14ac:dyDescent="0.2">
      <c r="A430" s="27"/>
      <c r="B430" s="136" t="s">
        <v>411</v>
      </c>
      <c r="C430" s="141">
        <v>0</v>
      </c>
      <c r="D430" s="138">
        <v>0</v>
      </c>
      <c r="E430" s="139">
        <v>0</v>
      </c>
      <c r="F430" s="139">
        <v>0</v>
      </c>
      <c r="G430" s="139">
        <v>0</v>
      </c>
      <c r="H430" s="139">
        <v>0</v>
      </c>
      <c r="I430" s="139">
        <v>0</v>
      </c>
      <c r="J430" s="139">
        <v>0</v>
      </c>
      <c r="K430" s="139">
        <v>0</v>
      </c>
      <c r="L430" s="139">
        <v>0</v>
      </c>
      <c r="M430" s="139">
        <v>0</v>
      </c>
      <c r="N430" s="139">
        <v>0</v>
      </c>
      <c r="O430" s="139">
        <v>0</v>
      </c>
      <c r="P430" s="139">
        <v>0</v>
      </c>
      <c r="Q430" s="139">
        <v>0</v>
      </c>
      <c r="R430" s="139">
        <v>0</v>
      </c>
      <c r="S430" s="139">
        <v>0</v>
      </c>
      <c r="T430" s="139">
        <v>0</v>
      </c>
      <c r="U430" s="139">
        <v>0</v>
      </c>
      <c r="V430" s="139">
        <v>0</v>
      </c>
      <c r="W430" s="139">
        <v>0</v>
      </c>
      <c r="X430" s="139">
        <v>0</v>
      </c>
      <c r="Y430" s="139">
        <v>0</v>
      </c>
      <c r="Z430" s="139">
        <v>0</v>
      </c>
      <c r="AA430" s="139">
        <v>0</v>
      </c>
      <c r="AB430" s="139">
        <v>0</v>
      </c>
      <c r="AC430" s="139">
        <v>0</v>
      </c>
      <c r="AD430" s="139">
        <v>0</v>
      </c>
      <c r="AE430" s="139">
        <v>0</v>
      </c>
      <c r="AF430" s="139">
        <v>0</v>
      </c>
      <c r="AG430" s="139">
        <v>0</v>
      </c>
      <c r="AH430" s="139">
        <v>0</v>
      </c>
      <c r="AI430" s="139">
        <v>0</v>
      </c>
      <c r="AJ430" s="139">
        <v>0</v>
      </c>
      <c r="AK430" s="139">
        <v>0</v>
      </c>
      <c r="AL430" s="139">
        <v>0</v>
      </c>
      <c r="AM430" s="139">
        <v>0</v>
      </c>
      <c r="AN430" s="139">
        <v>0</v>
      </c>
      <c r="AO430" s="139">
        <v>0</v>
      </c>
      <c r="AP430" s="139">
        <v>0</v>
      </c>
      <c r="AQ430" s="139">
        <v>0</v>
      </c>
      <c r="AR430" s="139">
        <v>0</v>
      </c>
      <c r="AS430" s="139">
        <v>0</v>
      </c>
      <c r="AT430" s="139">
        <v>5280</v>
      </c>
      <c r="AU430" s="139">
        <v>5280</v>
      </c>
      <c r="AV430" s="140"/>
    </row>
    <row r="431" spans="1:48" ht="15.75" customHeight="1" x14ac:dyDescent="0.2">
      <c r="A431" s="27"/>
      <c r="B431" s="136" t="s">
        <v>412</v>
      </c>
      <c r="C431" s="141">
        <v>0</v>
      </c>
      <c r="D431" s="138">
        <v>0</v>
      </c>
      <c r="E431" s="139">
        <v>0</v>
      </c>
      <c r="F431" s="139">
        <v>0</v>
      </c>
      <c r="G431" s="139">
        <v>0</v>
      </c>
      <c r="H431" s="139">
        <v>0</v>
      </c>
      <c r="I431" s="139">
        <v>0</v>
      </c>
      <c r="J431" s="139">
        <v>0</v>
      </c>
      <c r="K431" s="139">
        <v>0</v>
      </c>
      <c r="L431" s="139">
        <v>0</v>
      </c>
      <c r="M431" s="139">
        <v>0</v>
      </c>
      <c r="N431" s="139">
        <v>0</v>
      </c>
      <c r="O431" s="139">
        <v>0</v>
      </c>
      <c r="P431" s="139">
        <v>0</v>
      </c>
      <c r="Q431" s="139">
        <v>0</v>
      </c>
      <c r="R431" s="139">
        <v>0</v>
      </c>
      <c r="S431" s="139">
        <v>0</v>
      </c>
      <c r="T431" s="139">
        <v>0</v>
      </c>
      <c r="U431" s="139">
        <v>0</v>
      </c>
      <c r="V431" s="139">
        <v>0</v>
      </c>
      <c r="W431" s="139">
        <v>0</v>
      </c>
      <c r="X431" s="139">
        <v>0</v>
      </c>
      <c r="Y431" s="139">
        <v>0</v>
      </c>
      <c r="Z431" s="139">
        <v>0</v>
      </c>
      <c r="AA431" s="139">
        <v>0</v>
      </c>
      <c r="AB431" s="139">
        <v>0</v>
      </c>
      <c r="AC431" s="139">
        <v>0</v>
      </c>
      <c r="AD431" s="139">
        <v>0</v>
      </c>
      <c r="AE431" s="139">
        <v>0</v>
      </c>
      <c r="AF431" s="139">
        <v>0</v>
      </c>
      <c r="AG431" s="139">
        <v>0</v>
      </c>
      <c r="AH431" s="139">
        <v>0</v>
      </c>
      <c r="AI431" s="139">
        <v>0</v>
      </c>
      <c r="AJ431" s="139">
        <v>0</v>
      </c>
      <c r="AK431" s="139">
        <v>0</v>
      </c>
      <c r="AL431" s="139">
        <v>0</v>
      </c>
      <c r="AM431" s="139">
        <v>0</v>
      </c>
      <c r="AN431" s="139">
        <v>0</v>
      </c>
      <c r="AO431" s="139">
        <v>0</v>
      </c>
      <c r="AP431" s="139">
        <v>0</v>
      </c>
      <c r="AQ431" s="139">
        <v>0</v>
      </c>
      <c r="AR431" s="139">
        <v>0</v>
      </c>
      <c r="AS431" s="139">
        <v>0</v>
      </c>
      <c r="AT431" s="139">
        <v>14400</v>
      </c>
      <c r="AU431" s="139">
        <v>14400</v>
      </c>
      <c r="AV431" s="140"/>
    </row>
    <row r="432" spans="1:48" ht="15.75" customHeight="1" x14ac:dyDescent="0.2">
      <c r="A432" s="27"/>
      <c r="B432" s="136" t="s">
        <v>413</v>
      </c>
      <c r="C432" s="141">
        <v>0</v>
      </c>
      <c r="D432" s="138">
        <v>0</v>
      </c>
      <c r="E432" s="139">
        <v>0</v>
      </c>
      <c r="F432" s="139">
        <v>0</v>
      </c>
      <c r="G432" s="139">
        <v>0</v>
      </c>
      <c r="H432" s="139">
        <v>0</v>
      </c>
      <c r="I432" s="139">
        <v>0</v>
      </c>
      <c r="J432" s="139">
        <v>0</v>
      </c>
      <c r="K432" s="139">
        <v>0</v>
      </c>
      <c r="L432" s="139">
        <v>0</v>
      </c>
      <c r="M432" s="139">
        <v>0</v>
      </c>
      <c r="N432" s="139">
        <v>0</v>
      </c>
      <c r="O432" s="139">
        <v>0</v>
      </c>
      <c r="P432" s="139">
        <v>0</v>
      </c>
      <c r="Q432" s="139">
        <v>0</v>
      </c>
      <c r="R432" s="139">
        <v>0</v>
      </c>
      <c r="S432" s="139">
        <v>0</v>
      </c>
      <c r="T432" s="139">
        <v>0</v>
      </c>
      <c r="U432" s="139">
        <v>0</v>
      </c>
      <c r="V432" s="139">
        <v>0</v>
      </c>
      <c r="W432" s="139">
        <v>0</v>
      </c>
      <c r="X432" s="139">
        <v>0</v>
      </c>
      <c r="Y432" s="139">
        <v>0</v>
      </c>
      <c r="Z432" s="139">
        <v>0</v>
      </c>
      <c r="AA432" s="139">
        <v>0</v>
      </c>
      <c r="AB432" s="139">
        <v>0</v>
      </c>
      <c r="AC432" s="139">
        <v>0</v>
      </c>
      <c r="AD432" s="139">
        <v>0</v>
      </c>
      <c r="AE432" s="139">
        <v>0</v>
      </c>
      <c r="AF432" s="139">
        <v>0</v>
      </c>
      <c r="AG432" s="139">
        <v>0</v>
      </c>
      <c r="AH432" s="139">
        <v>0</v>
      </c>
      <c r="AI432" s="139">
        <v>0</v>
      </c>
      <c r="AJ432" s="139">
        <v>0</v>
      </c>
      <c r="AK432" s="139">
        <v>0</v>
      </c>
      <c r="AL432" s="139">
        <v>0</v>
      </c>
      <c r="AM432" s="139">
        <v>0</v>
      </c>
      <c r="AN432" s="139">
        <v>0</v>
      </c>
      <c r="AO432" s="139">
        <v>0</v>
      </c>
      <c r="AP432" s="139">
        <v>0</v>
      </c>
      <c r="AQ432" s="139">
        <v>0</v>
      </c>
      <c r="AR432" s="139">
        <v>0</v>
      </c>
      <c r="AS432" s="139">
        <v>0</v>
      </c>
      <c r="AT432" s="139">
        <v>9600</v>
      </c>
      <c r="AU432" s="139">
        <v>9600</v>
      </c>
      <c r="AV432" s="140"/>
    </row>
    <row r="433" spans="1:48" ht="15.75" customHeight="1" x14ac:dyDescent="0.2">
      <c r="A433" s="27"/>
      <c r="B433" s="136" t="s">
        <v>414</v>
      </c>
      <c r="C433" s="141">
        <v>0</v>
      </c>
      <c r="D433" s="138">
        <v>0</v>
      </c>
      <c r="E433" s="139">
        <v>0</v>
      </c>
      <c r="F433" s="139">
        <v>0</v>
      </c>
      <c r="G433" s="139">
        <v>0</v>
      </c>
      <c r="H433" s="139">
        <v>0</v>
      </c>
      <c r="I433" s="139">
        <v>0</v>
      </c>
      <c r="J433" s="139">
        <v>0</v>
      </c>
      <c r="K433" s="139">
        <v>0</v>
      </c>
      <c r="L433" s="139">
        <v>0</v>
      </c>
      <c r="M433" s="139">
        <v>0</v>
      </c>
      <c r="N433" s="139">
        <v>0</v>
      </c>
      <c r="O433" s="139">
        <v>0</v>
      </c>
      <c r="P433" s="139">
        <v>0</v>
      </c>
      <c r="Q433" s="139">
        <v>0</v>
      </c>
      <c r="R433" s="139">
        <v>0</v>
      </c>
      <c r="S433" s="139">
        <v>0</v>
      </c>
      <c r="T433" s="139">
        <v>0</v>
      </c>
      <c r="U433" s="139">
        <v>0</v>
      </c>
      <c r="V433" s="139">
        <v>0</v>
      </c>
      <c r="W433" s="139">
        <v>0</v>
      </c>
      <c r="X433" s="139">
        <v>0</v>
      </c>
      <c r="Y433" s="139">
        <v>0</v>
      </c>
      <c r="Z433" s="139">
        <v>0</v>
      </c>
      <c r="AA433" s="139">
        <v>0</v>
      </c>
      <c r="AB433" s="139">
        <v>0</v>
      </c>
      <c r="AC433" s="139">
        <v>0</v>
      </c>
      <c r="AD433" s="139">
        <v>0</v>
      </c>
      <c r="AE433" s="139">
        <v>0</v>
      </c>
      <c r="AF433" s="139">
        <v>0</v>
      </c>
      <c r="AG433" s="139">
        <v>0</v>
      </c>
      <c r="AH433" s="139">
        <v>0</v>
      </c>
      <c r="AI433" s="139">
        <v>0</v>
      </c>
      <c r="AJ433" s="139">
        <v>0</v>
      </c>
      <c r="AK433" s="139">
        <v>0</v>
      </c>
      <c r="AL433" s="139">
        <v>0</v>
      </c>
      <c r="AM433" s="139">
        <v>0</v>
      </c>
      <c r="AN433" s="139">
        <v>0</v>
      </c>
      <c r="AO433" s="139">
        <v>0</v>
      </c>
      <c r="AP433" s="139">
        <v>0</v>
      </c>
      <c r="AQ433" s="139">
        <v>0</v>
      </c>
      <c r="AR433" s="139">
        <v>0</v>
      </c>
      <c r="AS433" s="139">
        <v>0</v>
      </c>
      <c r="AT433" s="139">
        <v>29520</v>
      </c>
      <c r="AU433" s="139">
        <v>29520</v>
      </c>
      <c r="AV433" s="140"/>
    </row>
    <row r="434" spans="1:48" ht="15.75" customHeight="1" x14ac:dyDescent="0.2">
      <c r="A434" s="27"/>
      <c r="B434" s="136" t="s">
        <v>415</v>
      </c>
      <c r="C434" s="141">
        <v>0</v>
      </c>
      <c r="D434" s="138">
        <v>0</v>
      </c>
      <c r="E434" s="139">
        <v>0</v>
      </c>
      <c r="F434" s="139">
        <v>0</v>
      </c>
      <c r="G434" s="139">
        <v>0</v>
      </c>
      <c r="H434" s="139">
        <v>0</v>
      </c>
      <c r="I434" s="139">
        <v>0</v>
      </c>
      <c r="J434" s="139">
        <v>0</v>
      </c>
      <c r="K434" s="139">
        <v>0</v>
      </c>
      <c r="L434" s="139">
        <v>0</v>
      </c>
      <c r="M434" s="139">
        <v>0</v>
      </c>
      <c r="N434" s="139">
        <v>0</v>
      </c>
      <c r="O434" s="139">
        <v>0</v>
      </c>
      <c r="P434" s="139">
        <v>0</v>
      </c>
      <c r="Q434" s="139">
        <v>0</v>
      </c>
      <c r="R434" s="139">
        <v>0</v>
      </c>
      <c r="S434" s="139">
        <v>0</v>
      </c>
      <c r="T434" s="139">
        <v>0</v>
      </c>
      <c r="U434" s="139">
        <v>0</v>
      </c>
      <c r="V434" s="139">
        <v>0</v>
      </c>
      <c r="W434" s="139">
        <v>0</v>
      </c>
      <c r="X434" s="139">
        <v>0</v>
      </c>
      <c r="Y434" s="139">
        <v>0</v>
      </c>
      <c r="Z434" s="139">
        <v>0</v>
      </c>
      <c r="AA434" s="139">
        <v>0</v>
      </c>
      <c r="AB434" s="139">
        <v>0</v>
      </c>
      <c r="AC434" s="139">
        <v>0</v>
      </c>
      <c r="AD434" s="139">
        <v>0</v>
      </c>
      <c r="AE434" s="139">
        <v>0</v>
      </c>
      <c r="AF434" s="139">
        <v>0</v>
      </c>
      <c r="AG434" s="139">
        <v>0</v>
      </c>
      <c r="AH434" s="139">
        <v>0</v>
      </c>
      <c r="AI434" s="139">
        <v>0</v>
      </c>
      <c r="AJ434" s="139">
        <v>0</v>
      </c>
      <c r="AK434" s="139">
        <v>0</v>
      </c>
      <c r="AL434" s="139">
        <v>0</v>
      </c>
      <c r="AM434" s="139">
        <v>0</v>
      </c>
      <c r="AN434" s="139">
        <v>0</v>
      </c>
      <c r="AO434" s="139">
        <v>0</v>
      </c>
      <c r="AP434" s="139">
        <v>0</v>
      </c>
      <c r="AQ434" s="139">
        <v>0</v>
      </c>
      <c r="AR434" s="139">
        <v>0</v>
      </c>
      <c r="AS434" s="139">
        <v>0</v>
      </c>
      <c r="AT434" s="139">
        <v>21600</v>
      </c>
      <c r="AU434" s="139">
        <v>21600</v>
      </c>
      <c r="AV434" s="140"/>
    </row>
    <row r="435" spans="1:48" ht="15.75" customHeight="1" x14ac:dyDescent="0.2">
      <c r="A435" s="27"/>
      <c r="B435" s="136" t="s">
        <v>416</v>
      </c>
      <c r="C435" s="141">
        <v>0</v>
      </c>
      <c r="D435" s="138">
        <v>0</v>
      </c>
      <c r="E435" s="139">
        <v>0</v>
      </c>
      <c r="F435" s="139">
        <v>0</v>
      </c>
      <c r="G435" s="139">
        <v>0</v>
      </c>
      <c r="H435" s="139">
        <v>0</v>
      </c>
      <c r="I435" s="139">
        <v>0</v>
      </c>
      <c r="J435" s="139">
        <v>0</v>
      </c>
      <c r="K435" s="139">
        <v>0</v>
      </c>
      <c r="L435" s="139">
        <v>0</v>
      </c>
      <c r="M435" s="139">
        <v>0</v>
      </c>
      <c r="N435" s="139">
        <v>0</v>
      </c>
      <c r="O435" s="139">
        <v>0</v>
      </c>
      <c r="P435" s="139">
        <v>0</v>
      </c>
      <c r="Q435" s="139">
        <v>0</v>
      </c>
      <c r="R435" s="139">
        <v>0</v>
      </c>
      <c r="S435" s="139">
        <v>0</v>
      </c>
      <c r="T435" s="139">
        <v>0</v>
      </c>
      <c r="U435" s="139">
        <v>0</v>
      </c>
      <c r="V435" s="139">
        <v>0</v>
      </c>
      <c r="W435" s="139">
        <v>0</v>
      </c>
      <c r="X435" s="139">
        <v>0</v>
      </c>
      <c r="Y435" s="139">
        <v>0</v>
      </c>
      <c r="Z435" s="139">
        <v>0</v>
      </c>
      <c r="AA435" s="139">
        <v>0</v>
      </c>
      <c r="AB435" s="139">
        <v>0</v>
      </c>
      <c r="AC435" s="139">
        <v>0</v>
      </c>
      <c r="AD435" s="139">
        <v>0</v>
      </c>
      <c r="AE435" s="139">
        <v>0</v>
      </c>
      <c r="AF435" s="139">
        <v>0</v>
      </c>
      <c r="AG435" s="139">
        <v>0</v>
      </c>
      <c r="AH435" s="139">
        <v>0</v>
      </c>
      <c r="AI435" s="139">
        <v>0</v>
      </c>
      <c r="AJ435" s="139">
        <v>0</v>
      </c>
      <c r="AK435" s="139">
        <v>0</v>
      </c>
      <c r="AL435" s="139">
        <v>0</v>
      </c>
      <c r="AM435" s="139">
        <v>0</v>
      </c>
      <c r="AN435" s="139">
        <v>0</v>
      </c>
      <c r="AO435" s="139">
        <v>0</v>
      </c>
      <c r="AP435" s="139">
        <v>0</v>
      </c>
      <c r="AQ435" s="139">
        <v>0</v>
      </c>
      <c r="AR435" s="139">
        <v>0</v>
      </c>
      <c r="AS435" s="139">
        <v>0</v>
      </c>
      <c r="AT435" s="139">
        <v>9648</v>
      </c>
      <c r="AU435" s="139">
        <v>9648</v>
      </c>
      <c r="AV435" s="140"/>
    </row>
    <row r="436" spans="1:48" ht="15.75" customHeight="1" x14ac:dyDescent="0.2">
      <c r="A436" s="27"/>
      <c r="B436" s="136" t="s">
        <v>417</v>
      </c>
      <c r="C436" s="141">
        <v>0</v>
      </c>
      <c r="D436" s="138">
        <v>0</v>
      </c>
      <c r="E436" s="139">
        <v>0</v>
      </c>
      <c r="F436" s="139">
        <v>0</v>
      </c>
      <c r="G436" s="139">
        <v>0</v>
      </c>
      <c r="H436" s="139">
        <v>0</v>
      </c>
      <c r="I436" s="139">
        <v>0</v>
      </c>
      <c r="J436" s="139">
        <v>0</v>
      </c>
      <c r="K436" s="139">
        <v>0</v>
      </c>
      <c r="L436" s="139">
        <v>0</v>
      </c>
      <c r="M436" s="139">
        <v>0</v>
      </c>
      <c r="N436" s="139">
        <v>0</v>
      </c>
      <c r="O436" s="139">
        <v>0</v>
      </c>
      <c r="P436" s="139">
        <v>0</v>
      </c>
      <c r="Q436" s="139">
        <v>0</v>
      </c>
      <c r="R436" s="139">
        <v>0</v>
      </c>
      <c r="S436" s="139">
        <v>0</v>
      </c>
      <c r="T436" s="139">
        <v>0</v>
      </c>
      <c r="U436" s="139">
        <v>0</v>
      </c>
      <c r="V436" s="139">
        <v>0</v>
      </c>
      <c r="W436" s="139">
        <v>0</v>
      </c>
      <c r="X436" s="139">
        <v>0</v>
      </c>
      <c r="Y436" s="139">
        <v>0</v>
      </c>
      <c r="Z436" s="139">
        <v>0</v>
      </c>
      <c r="AA436" s="139">
        <v>0</v>
      </c>
      <c r="AB436" s="139">
        <v>0</v>
      </c>
      <c r="AC436" s="139">
        <v>0</v>
      </c>
      <c r="AD436" s="139">
        <v>0</v>
      </c>
      <c r="AE436" s="139">
        <v>0</v>
      </c>
      <c r="AF436" s="139">
        <v>0</v>
      </c>
      <c r="AG436" s="139">
        <v>0</v>
      </c>
      <c r="AH436" s="139">
        <v>0</v>
      </c>
      <c r="AI436" s="139">
        <v>0</v>
      </c>
      <c r="AJ436" s="139">
        <v>0</v>
      </c>
      <c r="AK436" s="139">
        <v>0</v>
      </c>
      <c r="AL436" s="139">
        <v>0</v>
      </c>
      <c r="AM436" s="139">
        <v>0</v>
      </c>
      <c r="AN436" s="139">
        <v>0</v>
      </c>
      <c r="AO436" s="139">
        <v>0</v>
      </c>
      <c r="AP436" s="139">
        <v>0</v>
      </c>
      <c r="AQ436" s="139">
        <v>0</v>
      </c>
      <c r="AR436" s="139">
        <v>0</v>
      </c>
      <c r="AS436" s="139">
        <v>0</v>
      </c>
      <c r="AT436" s="139">
        <v>146100</v>
      </c>
      <c r="AU436" s="139">
        <v>146100</v>
      </c>
      <c r="AV436" s="140"/>
    </row>
    <row r="437" spans="1:48" ht="15.75" customHeight="1" x14ac:dyDescent="0.2">
      <c r="A437" s="27"/>
      <c r="B437" s="136" t="s">
        <v>418</v>
      </c>
      <c r="C437" s="141">
        <v>0</v>
      </c>
      <c r="D437" s="138">
        <v>0</v>
      </c>
      <c r="E437" s="139">
        <v>0</v>
      </c>
      <c r="F437" s="139">
        <v>0</v>
      </c>
      <c r="G437" s="139">
        <v>0</v>
      </c>
      <c r="H437" s="139">
        <v>0</v>
      </c>
      <c r="I437" s="139">
        <v>0</v>
      </c>
      <c r="J437" s="139">
        <v>0</v>
      </c>
      <c r="K437" s="139">
        <v>0</v>
      </c>
      <c r="L437" s="139">
        <v>0</v>
      </c>
      <c r="M437" s="139">
        <v>0</v>
      </c>
      <c r="N437" s="139">
        <v>0</v>
      </c>
      <c r="O437" s="139">
        <v>0</v>
      </c>
      <c r="P437" s="139">
        <v>0</v>
      </c>
      <c r="Q437" s="139">
        <v>0</v>
      </c>
      <c r="R437" s="139">
        <v>0</v>
      </c>
      <c r="S437" s="139">
        <v>0</v>
      </c>
      <c r="T437" s="139">
        <v>0</v>
      </c>
      <c r="U437" s="139">
        <v>0</v>
      </c>
      <c r="V437" s="139">
        <v>0</v>
      </c>
      <c r="W437" s="139">
        <v>0</v>
      </c>
      <c r="X437" s="139">
        <v>0</v>
      </c>
      <c r="Y437" s="139">
        <v>0</v>
      </c>
      <c r="Z437" s="139">
        <v>0</v>
      </c>
      <c r="AA437" s="139">
        <v>0</v>
      </c>
      <c r="AB437" s="139">
        <v>0</v>
      </c>
      <c r="AC437" s="139">
        <v>0</v>
      </c>
      <c r="AD437" s="139">
        <v>0</v>
      </c>
      <c r="AE437" s="139">
        <v>0</v>
      </c>
      <c r="AF437" s="139">
        <v>0</v>
      </c>
      <c r="AG437" s="139">
        <v>0</v>
      </c>
      <c r="AH437" s="139">
        <v>0</v>
      </c>
      <c r="AI437" s="139">
        <v>0</v>
      </c>
      <c r="AJ437" s="139">
        <v>0</v>
      </c>
      <c r="AK437" s="139">
        <v>0</v>
      </c>
      <c r="AL437" s="139">
        <v>0</v>
      </c>
      <c r="AM437" s="139">
        <v>0</v>
      </c>
      <c r="AN437" s="139">
        <v>0</v>
      </c>
      <c r="AO437" s="139">
        <v>0</v>
      </c>
      <c r="AP437" s="139">
        <v>0</v>
      </c>
      <c r="AQ437" s="139">
        <v>0</v>
      </c>
      <c r="AR437" s="139">
        <v>0</v>
      </c>
      <c r="AS437" s="139">
        <v>0</v>
      </c>
      <c r="AT437" s="139">
        <v>24000</v>
      </c>
      <c r="AU437" s="139">
        <v>24000</v>
      </c>
      <c r="AV437" s="140"/>
    </row>
    <row r="438" spans="1:48" ht="15.75" customHeight="1" x14ac:dyDescent="0.2">
      <c r="A438" s="27"/>
      <c r="B438" s="136" t="s">
        <v>419</v>
      </c>
      <c r="C438" s="141">
        <v>0</v>
      </c>
      <c r="D438" s="138">
        <v>0</v>
      </c>
      <c r="E438" s="139">
        <v>0</v>
      </c>
      <c r="F438" s="139">
        <v>0</v>
      </c>
      <c r="G438" s="139">
        <v>0</v>
      </c>
      <c r="H438" s="139">
        <v>0</v>
      </c>
      <c r="I438" s="139">
        <v>0</v>
      </c>
      <c r="J438" s="139">
        <v>0</v>
      </c>
      <c r="K438" s="139">
        <v>0</v>
      </c>
      <c r="L438" s="139">
        <v>0</v>
      </c>
      <c r="M438" s="139">
        <v>0</v>
      </c>
      <c r="N438" s="139">
        <v>0</v>
      </c>
      <c r="O438" s="139">
        <v>0</v>
      </c>
      <c r="P438" s="139">
        <v>0</v>
      </c>
      <c r="Q438" s="139">
        <v>0</v>
      </c>
      <c r="R438" s="139">
        <v>0</v>
      </c>
      <c r="S438" s="139">
        <v>0</v>
      </c>
      <c r="T438" s="139">
        <v>0</v>
      </c>
      <c r="U438" s="139">
        <v>0</v>
      </c>
      <c r="V438" s="139">
        <v>0</v>
      </c>
      <c r="W438" s="139">
        <v>0</v>
      </c>
      <c r="X438" s="139">
        <v>0</v>
      </c>
      <c r="Y438" s="139">
        <v>0</v>
      </c>
      <c r="Z438" s="139">
        <v>0</v>
      </c>
      <c r="AA438" s="139">
        <v>0</v>
      </c>
      <c r="AB438" s="139">
        <v>0</v>
      </c>
      <c r="AC438" s="139">
        <v>0</v>
      </c>
      <c r="AD438" s="139">
        <v>0</v>
      </c>
      <c r="AE438" s="139">
        <v>0</v>
      </c>
      <c r="AF438" s="139">
        <v>0</v>
      </c>
      <c r="AG438" s="139">
        <v>0</v>
      </c>
      <c r="AH438" s="139">
        <v>0</v>
      </c>
      <c r="AI438" s="139">
        <v>0</v>
      </c>
      <c r="AJ438" s="139">
        <v>0</v>
      </c>
      <c r="AK438" s="139">
        <v>0</v>
      </c>
      <c r="AL438" s="139">
        <v>0</v>
      </c>
      <c r="AM438" s="139">
        <v>0</v>
      </c>
      <c r="AN438" s="139">
        <v>0</v>
      </c>
      <c r="AO438" s="139">
        <v>0</v>
      </c>
      <c r="AP438" s="139">
        <v>0</v>
      </c>
      <c r="AQ438" s="139">
        <v>0</v>
      </c>
      <c r="AR438" s="139">
        <v>0</v>
      </c>
      <c r="AS438" s="139">
        <v>0</v>
      </c>
      <c r="AT438" s="139">
        <v>14490</v>
      </c>
      <c r="AU438" s="139">
        <v>14490</v>
      </c>
      <c r="AV438" s="140"/>
    </row>
    <row r="439" spans="1:48" ht="15.75" customHeight="1" x14ac:dyDescent="0.2">
      <c r="A439" s="27"/>
      <c r="B439" s="136" t="s">
        <v>420</v>
      </c>
      <c r="C439" s="141">
        <v>0</v>
      </c>
      <c r="D439" s="138">
        <v>0</v>
      </c>
      <c r="E439" s="139">
        <v>0</v>
      </c>
      <c r="F439" s="139">
        <v>0</v>
      </c>
      <c r="G439" s="139">
        <v>0</v>
      </c>
      <c r="H439" s="139">
        <v>0</v>
      </c>
      <c r="I439" s="139">
        <v>0</v>
      </c>
      <c r="J439" s="139">
        <v>0</v>
      </c>
      <c r="K439" s="139">
        <v>0</v>
      </c>
      <c r="L439" s="139">
        <v>0</v>
      </c>
      <c r="M439" s="139">
        <v>0</v>
      </c>
      <c r="N439" s="139">
        <v>0</v>
      </c>
      <c r="O439" s="139">
        <v>0</v>
      </c>
      <c r="P439" s="139">
        <v>0</v>
      </c>
      <c r="Q439" s="139">
        <v>0</v>
      </c>
      <c r="R439" s="139">
        <v>0</v>
      </c>
      <c r="S439" s="139">
        <v>0</v>
      </c>
      <c r="T439" s="139">
        <v>0</v>
      </c>
      <c r="U439" s="139">
        <v>0</v>
      </c>
      <c r="V439" s="139">
        <v>0</v>
      </c>
      <c r="W439" s="139">
        <v>0</v>
      </c>
      <c r="X439" s="139">
        <v>0</v>
      </c>
      <c r="Y439" s="139">
        <v>0</v>
      </c>
      <c r="Z439" s="139">
        <v>0</v>
      </c>
      <c r="AA439" s="139">
        <v>0</v>
      </c>
      <c r="AB439" s="139">
        <v>0</v>
      </c>
      <c r="AC439" s="139">
        <v>0</v>
      </c>
      <c r="AD439" s="139">
        <v>0</v>
      </c>
      <c r="AE439" s="139">
        <v>0</v>
      </c>
      <c r="AF439" s="139">
        <v>0</v>
      </c>
      <c r="AG439" s="139">
        <v>0</v>
      </c>
      <c r="AH439" s="139">
        <v>0</v>
      </c>
      <c r="AI439" s="139">
        <v>0</v>
      </c>
      <c r="AJ439" s="139">
        <v>0</v>
      </c>
      <c r="AK439" s="139">
        <v>0</v>
      </c>
      <c r="AL439" s="139">
        <v>0</v>
      </c>
      <c r="AM439" s="139">
        <v>0</v>
      </c>
      <c r="AN439" s="139">
        <v>0</v>
      </c>
      <c r="AO439" s="139">
        <v>0</v>
      </c>
      <c r="AP439" s="139">
        <v>0</v>
      </c>
      <c r="AQ439" s="139">
        <v>0</v>
      </c>
      <c r="AR439" s="139">
        <v>0</v>
      </c>
      <c r="AS439" s="139">
        <v>0</v>
      </c>
      <c r="AT439" s="139">
        <v>44100</v>
      </c>
      <c r="AU439" s="139">
        <v>44100</v>
      </c>
      <c r="AV439" s="140"/>
    </row>
    <row r="440" spans="1:48" ht="15.75" customHeight="1" x14ac:dyDescent="0.2">
      <c r="A440" s="27"/>
      <c r="B440" s="136" t="s">
        <v>421</v>
      </c>
      <c r="C440" s="141">
        <v>0</v>
      </c>
      <c r="D440" s="138">
        <v>0</v>
      </c>
      <c r="E440" s="139">
        <v>0</v>
      </c>
      <c r="F440" s="139">
        <v>0</v>
      </c>
      <c r="G440" s="139">
        <v>0</v>
      </c>
      <c r="H440" s="139">
        <v>0</v>
      </c>
      <c r="I440" s="139">
        <v>0</v>
      </c>
      <c r="J440" s="139">
        <v>0</v>
      </c>
      <c r="K440" s="139">
        <v>0</v>
      </c>
      <c r="L440" s="139">
        <v>0</v>
      </c>
      <c r="M440" s="139">
        <v>0</v>
      </c>
      <c r="N440" s="139">
        <v>0</v>
      </c>
      <c r="O440" s="139">
        <v>0</v>
      </c>
      <c r="P440" s="139">
        <v>0</v>
      </c>
      <c r="Q440" s="139">
        <v>0</v>
      </c>
      <c r="R440" s="139">
        <v>0</v>
      </c>
      <c r="S440" s="139">
        <v>0</v>
      </c>
      <c r="T440" s="139">
        <v>0</v>
      </c>
      <c r="U440" s="139">
        <v>0</v>
      </c>
      <c r="V440" s="139">
        <v>0</v>
      </c>
      <c r="W440" s="139">
        <v>0</v>
      </c>
      <c r="X440" s="139">
        <v>0</v>
      </c>
      <c r="Y440" s="139">
        <v>0</v>
      </c>
      <c r="Z440" s="139">
        <v>0</v>
      </c>
      <c r="AA440" s="139">
        <v>0</v>
      </c>
      <c r="AB440" s="139">
        <v>0</v>
      </c>
      <c r="AC440" s="139">
        <v>0</v>
      </c>
      <c r="AD440" s="139">
        <v>0</v>
      </c>
      <c r="AE440" s="139">
        <v>0</v>
      </c>
      <c r="AF440" s="139">
        <v>0</v>
      </c>
      <c r="AG440" s="139">
        <v>0</v>
      </c>
      <c r="AH440" s="139">
        <v>0</v>
      </c>
      <c r="AI440" s="139">
        <v>0</v>
      </c>
      <c r="AJ440" s="139">
        <v>0</v>
      </c>
      <c r="AK440" s="139">
        <v>0</v>
      </c>
      <c r="AL440" s="139">
        <v>0</v>
      </c>
      <c r="AM440" s="139">
        <v>0</v>
      </c>
      <c r="AN440" s="139">
        <v>0</v>
      </c>
      <c r="AO440" s="139">
        <v>0</v>
      </c>
      <c r="AP440" s="139">
        <v>0</v>
      </c>
      <c r="AQ440" s="139">
        <v>0</v>
      </c>
      <c r="AR440" s="139">
        <v>0</v>
      </c>
      <c r="AS440" s="139">
        <v>0</v>
      </c>
      <c r="AT440" s="139">
        <v>30960</v>
      </c>
      <c r="AU440" s="139">
        <v>30960</v>
      </c>
      <c r="AV440" s="140"/>
    </row>
    <row r="441" spans="1:48" ht="15.75" customHeight="1" x14ac:dyDescent="0.2">
      <c r="A441" s="27"/>
      <c r="B441" s="136" t="s">
        <v>422</v>
      </c>
      <c r="C441" s="141">
        <v>0</v>
      </c>
      <c r="D441" s="138">
        <v>0</v>
      </c>
      <c r="E441" s="139">
        <v>0</v>
      </c>
      <c r="F441" s="139">
        <v>0</v>
      </c>
      <c r="G441" s="139">
        <v>0</v>
      </c>
      <c r="H441" s="139">
        <v>0</v>
      </c>
      <c r="I441" s="139">
        <v>0</v>
      </c>
      <c r="J441" s="139">
        <v>0</v>
      </c>
      <c r="K441" s="139">
        <v>0</v>
      </c>
      <c r="L441" s="139">
        <v>0</v>
      </c>
      <c r="M441" s="139">
        <v>0</v>
      </c>
      <c r="N441" s="139">
        <v>0</v>
      </c>
      <c r="O441" s="139">
        <v>0</v>
      </c>
      <c r="P441" s="139">
        <v>0</v>
      </c>
      <c r="Q441" s="139">
        <v>0</v>
      </c>
      <c r="R441" s="139">
        <v>0</v>
      </c>
      <c r="S441" s="139">
        <v>0</v>
      </c>
      <c r="T441" s="139">
        <v>0</v>
      </c>
      <c r="U441" s="139">
        <v>0</v>
      </c>
      <c r="V441" s="139">
        <v>0</v>
      </c>
      <c r="W441" s="139">
        <v>0</v>
      </c>
      <c r="X441" s="139">
        <v>0</v>
      </c>
      <c r="Y441" s="139">
        <v>0</v>
      </c>
      <c r="Z441" s="139">
        <v>0</v>
      </c>
      <c r="AA441" s="139">
        <v>0</v>
      </c>
      <c r="AB441" s="139">
        <v>0</v>
      </c>
      <c r="AC441" s="139">
        <v>0</v>
      </c>
      <c r="AD441" s="139">
        <v>0</v>
      </c>
      <c r="AE441" s="139">
        <v>0</v>
      </c>
      <c r="AF441" s="139">
        <v>0</v>
      </c>
      <c r="AG441" s="139">
        <v>0</v>
      </c>
      <c r="AH441" s="139">
        <v>0</v>
      </c>
      <c r="AI441" s="139">
        <v>0</v>
      </c>
      <c r="AJ441" s="139">
        <v>0</v>
      </c>
      <c r="AK441" s="139">
        <v>0</v>
      </c>
      <c r="AL441" s="139">
        <v>0</v>
      </c>
      <c r="AM441" s="139">
        <v>0</v>
      </c>
      <c r="AN441" s="139">
        <v>0</v>
      </c>
      <c r="AO441" s="139">
        <v>0</v>
      </c>
      <c r="AP441" s="139">
        <v>0</v>
      </c>
      <c r="AQ441" s="139">
        <v>0</v>
      </c>
      <c r="AR441" s="139">
        <v>0</v>
      </c>
      <c r="AS441" s="139">
        <v>0</v>
      </c>
      <c r="AT441" s="139">
        <v>91488</v>
      </c>
      <c r="AU441" s="139">
        <v>91488</v>
      </c>
      <c r="AV441" s="140"/>
    </row>
    <row r="442" spans="1:48" ht="15.75" customHeight="1" x14ac:dyDescent="0.2">
      <c r="A442" s="27"/>
      <c r="B442" s="136" t="s">
        <v>423</v>
      </c>
      <c r="C442" s="141">
        <v>0</v>
      </c>
      <c r="D442" s="138">
        <v>0</v>
      </c>
      <c r="E442" s="139">
        <v>0</v>
      </c>
      <c r="F442" s="139">
        <v>0</v>
      </c>
      <c r="G442" s="139">
        <v>0</v>
      </c>
      <c r="H442" s="139">
        <v>0</v>
      </c>
      <c r="I442" s="139">
        <v>0</v>
      </c>
      <c r="J442" s="139">
        <v>0</v>
      </c>
      <c r="K442" s="139">
        <v>0</v>
      </c>
      <c r="L442" s="139">
        <v>0</v>
      </c>
      <c r="M442" s="139">
        <v>0</v>
      </c>
      <c r="N442" s="139">
        <v>0</v>
      </c>
      <c r="O442" s="139">
        <v>0</v>
      </c>
      <c r="P442" s="139">
        <v>0</v>
      </c>
      <c r="Q442" s="139">
        <v>0</v>
      </c>
      <c r="R442" s="139">
        <v>0</v>
      </c>
      <c r="S442" s="139">
        <v>0</v>
      </c>
      <c r="T442" s="139">
        <v>0</v>
      </c>
      <c r="U442" s="139">
        <v>0</v>
      </c>
      <c r="V442" s="139">
        <v>0</v>
      </c>
      <c r="W442" s="139">
        <v>0</v>
      </c>
      <c r="X442" s="139">
        <v>0</v>
      </c>
      <c r="Y442" s="139">
        <v>0</v>
      </c>
      <c r="Z442" s="139">
        <v>0</v>
      </c>
      <c r="AA442" s="139">
        <v>0</v>
      </c>
      <c r="AB442" s="139">
        <v>0</v>
      </c>
      <c r="AC442" s="139">
        <v>0</v>
      </c>
      <c r="AD442" s="139">
        <v>0</v>
      </c>
      <c r="AE442" s="139">
        <v>0</v>
      </c>
      <c r="AF442" s="139">
        <v>0</v>
      </c>
      <c r="AG442" s="139">
        <v>0</v>
      </c>
      <c r="AH442" s="139">
        <v>0</v>
      </c>
      <c r="AI442" s="139">
        <v>0</v>
      </c>
      <c r="AJ442" s="139">
        <v>0</v>
      </c>
      <c r="AK442" s="139">
        <v>0</v>
      </c>
      <c r="AL442" s="139">
        <v>0</v>
      </c>
      <c r="AM442" s="139">
        <v>0</v>
      </c>
      <c r="AN442" s="139">
        <v>0</v>
      </c>
      <c r="AO442" s="139">
        <v>0</v>
      </c>
      <c r="AP442" s="139">
        <v>0</v>
      </c>
      <c r="AQ442" s="139">
        <v>0</v>
      </c>
      <c r="AR442" s="139">
        <v>0</v>
      </c>
      <c r="AS442" s="139">
        <v>0</v>
      </c>
      <c r="AT442" s="139">
        <v>18001</v>
      </c>
      <c r="AU442" s="139">
        <v>18001</v>
      </c>
      <c r="AV442" s="140"/>
    </row>
    <row r="443" spans="1:48" ht="15.75" customHeight="1" x14ac:dyDescent="0.2">
      <c r="A443" s="27"/>
      <c r="B443" s="136" t="s">
        <v>424</v>
      </c>
      <c r="C443" s="141">
        <v>0</v>
      </c>
      <c r="D443" s="138">
        <v>0</v>
      </c>
      <c r="E443" s="139">
        <v>0</v>
      </c>
      <c r="F443" s="139">
        <v>0</v>
      </c>
      <c r="G443" s="139">
        <v>0</v>
      </c>
      <c r="H443" s="139">
        <v>0</v>
      </c>
      <c r="I443" s="139">
        <v>0</v>
      </c>
      <c r="J443" s="139">
        <v>0</v>
      </c>
      <c r="K443" s="139">
        <v>0</v>
      </c>
      <c r="L443" s="139">
        <v>0</v>
      </c>
      <c r="M443" s="139">
        <v>0</v>
      </c>
      <c r="N443" s="139">
        <v>0</v>
      </c>
      <c r="O443" s="139">
        <v>0</v>
      </c>
      <c r="P443" s="139">
        <v>0</v>
      </c>
      <c r="Q443" s="139">
        <v>0</v>
      </c>
      <c r="R443" s="139">
        <v>0</v>
      </c>
      <c r="S443" s="139">
        <v>0</v>
      </c>
      <c r="T443" s="139">
        <v>0</v>
      </c>
      <c r="U443" s="139">
        <v>0</v>
      </c>
      <c r="V443" s="139">
        <v>0</v>
      </c>
      <c r="W443" s="139">
        <v>0</v>
      </c>
      <c r="X443" s="139">
        <v>0</v>
      </c>
      <c r="Y443" s="139">
        <v>0</v>
      </c>
      <c r="Z443" s="139">
        <v>0</v>
      </c>
      <c r="AA443" s="139">
        <v>0</v>
      </c>
      <c r="AB443" s="139">
        <v>0</v>
      </c>
      <c r="AC443" s="139">
        <v>0</v>
      </c>
      <c r="AD443" s="139">
        <v>0</v>
      </c>
      <c r="AE443" s="139">
        <v>0</v>
      </c>
      <c r="AF443" s="139">
        <v>0</v>
      </c>
      <c r="AG443" s="139">
        <v>0</v>
      </c>
      <c r="AH443" s="139">
        <v>0</v>
      </c>
      <c r="AI443" s="139">
        <v>0</v>
      </c>
      <c r="AJ443" s="139">
        <v>0</v>
      </c>
      <c r="AK443" s="139">
        <v>0</v>
      </c>
      <c r="AL443" s="139">
        <v>0</v>
      </c>
      <c r="AM443" s="139">
        <v>0</v>
      </c>
      <c r="AN443" s="139">
        <v>0</v>
      </c>
      <c r="AO443" s="139">
        <v>0</v>
      </c>
      <c r="AP443" s="139">
        <v>0</v>
      </c>
      <c r="AQ443" s="139">
        <v>0</v>
      </c>
      <c r="AR443" s="139">
        <v>0</v>
      </c>
      <c r="AS443" s="139">
        <v>0</v>
      </c>
      <c r="AT443" s="139">
        <v>0</v>
      </c>
      <c r="AU443" s="139">
        <v>32760</v>
      </c>
      <c r="AV443" s="140"/>
    </row>
    <row r="444" spans="1:48" ht="15.75" customHeight="1" x14ac:dyDescent="0.2">
      <c r="A444" s="27"/>
      <c r="B444" s="136" t="s">
        <v>425</v>
      </c>
      <c r="C444" s="141">
        <v>0</v>
      </c>
      <c r="D444" s="138">
        <v>0</v>
      </c>
      <c r="E444" s="139">
        <v>0</v>
      </c>
      <c r="F444" s="139">
        <v>0</v>
      </c>
      <c r="G444" s="139">
        <v>0</v>
      </c>
      <c r="H444" s="139">
        <v>0</v>
      </c>
      <c r="I444" s="139">
        <v>0</v>
      </c>
      <c r="J444" s="139">
        <v>0</v>
      </c>
      <c r="K444" s="139">
        <v>0</v>
      </c>
      <c r="L444" s="139">
        <v>0</v>
      </c>
      <c r="M444" s="139">
        <v>0</v>
      </c>
      <c r="N444" s="139">
        <v>0</v>
      </c>
      <c r="O444" s="139">
        <v>0</v>
      </c>
      <c r="P444" s="139">
        <v>0</v>
      </c>
      <c r="Q444" s="139">
        <v>0</v>
      </c>
      <c r="R444" s="139">
        <v>0</v>
      </c>
      <c r="S444" s="139">
        <v>0</v>
      </c>
      <c r="T444" s="139">
        <v>0</v>
      </c>
      <c r="U444" s="139">
        <v>0</v>
      </c>
      <c r="V444" s="139">
        <v>0</v>
      </c>
      <c r="W444" s="139">
        <v>0</v>
      </c>
      <c r="X444" s="139">
        <v>0</v>
      </c>
      <c r="Y444" s="139">
        <v>0</v>
      </c>
      <c r="Z444" s="139">
        <v>0</v>
      </c>
      <c r="AA444" s="139">
        <v>0</v>
      </c>
      <c r="AB444" s="139">
        <v>0</v>
      </c>
      <c r="AC444" s="139">
        <v>0</v>
      </c>
      <c r="AD444" s="139">
        <v>0</v>
      </c>
      <c r="AE444" s="139">
        <v>0</v>
      </c>
      <c r="AF444" s="139">
        <v>0</v>
      </c>
      <c r="AG444" s="139">
        <v>0</v>
      </c>
      <c r="AH444" s="139">
        <v>0</v>
      </c>
      <c r="AI444" s="139">
        <v>0</v>
      </c>
      <c r="AJ444" s="139">
        <v>0</v>
      </c>
      <c r="AK444" s="139">
        <v>0</v>
      </c>
      <c r="AL444" s="139">
        <v>0</v>
      </c>
      <c r="AM444" s="139">
        <v>0</v>
      </c>
      <c r="AN444" s="139">
        <v>0</v>
      </c>
      <c r="AO444" s="139">
        <v>0</v>
      </c>
      <c r="AP444" s="139">
        <v>0</v>
      </c>
      <c r="AQ444" s="139">
        <v>0</v>
      </c>
      <c r="AR444" s="139">
        <v>0</v>
      </c>
      <c r="AS444" s="139">
        <v>0</v>
      </c>
      <c r="AT444" s="139">
        <v>0</v>
      </c>
      <c r="AU444" s="139">
        <v>22608</v>
      </c>
      <c r="AV444" s="140"/>
    </row>
    <row r="445" spans="1:48" ht="15.75" customHeight="1" x14ac:dyDescent="0.2">
      <c r="A445" s="27"/>
      <c r="B445" s="136" t="s">
        <v>426</v>
      </c>
      <c r="C445" s="141">
        <v>0</v>
      </c>
      <c r="D445" s="138">
        <v>0</v>
      </c>
      <c r="E445" s="139">
        <v>0</v>
      </c>
      <c r="F445" s="139">
        <v>0</v>
      </c>
      <c r="G445" s="139">
        <v>0</v>
      </c>
      <c r="H445" s="139">
        <v>0</v>
      </c>
      <c r="I445" s="139">
        <v>0</v>
      </c>
      <c r="J445" s="139">
        <v>0</v>
      </c>
      <c r="K445" s="139">
        <v>0</v>
      </c>
      <c r="L445" s="139">
        <v>0</v>
      </c>
      <c r="M445" s="139">
        <v>0</v>
      </c>
      <c r="N445" s="139">
        <v>0</v>
      </c>
      <c r="O445" s="139">
        <v>0</v>
      </c>
      <c r="P445" s="139">
        <v>0</v>
      </c>
      <c r="Q445" s="139">
        <v>0</v>
      </c>
      <c r="R445" s="139">
        <v>0</v>
      </c>
      <c r="S445" s="139">
        <v>0</v>
      </c>
      <c r="T445" s="139">
        <v>0</v>
      </c>
      <c r="U445" s="139">
        <v>0</v>
      </c>
      <c r="V445" s="139">
        <v>0</v>
      </c>
      <c r="W445" s="139">
        <v>0</v>
      </c>
      <c r="X445" s="139">
        <v>0</v>
      </c>
      <c r="Y445" s="139">
        <v>0</v>
      </c>
      <c r="Z445" s="139">
        <v>0</v>
      </c>
      <c r="AA445" s="139">
        <v>0</v>
      </c>
      <c r="AB445" s="139">
        <v>0</v>
      </c>
      <c r="AC445" s="139">
        <v>0</v>
      </c>
      <c r="AD445" s="139">
        <v>0</v>
      </c>
      <c r="AE445" s="139">
        <v>0</v>
      </c>
      <c r="AF445" s="139">
        <v>0</v>
      </c>
      <c r="AG445" s="139">
        <v>0</v>
      </c>
      <c r="AH445" s="139">
        <v>0</v>
      </c>
      <c r="AI445" s="139">
        <v>0</v>
      </c>
      <c r="AJ445" s="139">
        <v>0</v>
      </c>
      <c r="AK445" s="139">
        <v>0</v>
      </c>
      <c r="AL445" s="139">
        <v>0</v>
      </c>
      <c r="AM445" s="139">
        <v>0</v>
      </c>
      <c r="AN445" s="139">
        <v>0</v>
      </c>
      <c r="AO445" s="139">
        <v>0</v>
      </c>
      <c r="AP445" s="139">
        <v>0</v>
      </c>
      <c r="AQ445" s="139">
        <v>0</v>
      </c>
      <c r="AR445" s="139">
        <v>0</v>
      </c>
      <c r="AS445" s="139">
        <v>0</v>
      </c>
      <c r="AT445" s="139">
        <v>0</v>
      </c>
      <c r="AU445" s="139">
        <v>114480</v>
      </c>
      <c r="AV445" s="140"/>
    </row>
    <row r="446" spans="1:48" ht="15.75" customHeight="1" x14ac:dyDescent="0.2">
      <c r="A446" s="27"/>
      <c r="B446" s="136" t="s">
        <v>427</v>
      </c>
      <c r="C446" s="141">
        <v>0</v>
      </c>
      <c r="D446" s="138">
        <v>0</v>
      </c>
      <c r="E446" s="139">
        <v>0</v>
      </c>
      <c r="F446" s="139">
        <v>0</v>
      </c>
      <c r="G446" s="139">
        <v>0</v>
      </c>
      <c r="H446" s="139">
        <v>0</v>
      </c>
      <c r="I446" s="139">
        <v>0</v>
      </c>
      <c r="J446" s="139">
        <v>0</v>
      </c>
      <c r="K446" s="139">
        <v>0</v>
      </c>
      <c r="L446" s="139">
        <v>0</v>
      </c>
      <c r="M446" s="139">
        <v>0</v>
      </c>
      <c r="N446" s="139">
        <v>0</v>
      </c>
      <c r="O446" s="139">
        <v>0</v>
      </c>
      <c r="P446" s="139">
        <v>0</v>
      </c>
      <c r="Q446" s="139">
        <v>0</v>
      </c>
      <c r="R446" s="139">
        <v>0</v>
      </c>
      <c r="S446" s="139">
        <v>0</v>
      </c>
      <c r="T446" s="139">
        <v>0</v>
      </c>
      <c r="U446" s="139">
        <v>0</v>
      </c>
      <c r="V446" s="139">
        <v>0</v>
      </c>
      <c r="W446" s="139">
        <v>0</v>
      </c>
      <c r="X446" s="139">
        <v>0</v>
      </c>
      <c r="Y446" s="139">
        <v>0</v>
      </c>
      <c r="Z446" s="139">
        <v>0</v>
      </c>
      <c r="AA446" s="139">
        <v>0</v>
      </c>
      <c r="AB446" s="139">
        <v>0</v>
      </c>
      <c r="AC446" s="139">
        <v>0</v>
      </c>
      <c r="AD446" s="139">
        <v>0</v>
      </c>
      <c r="AE446" s="139">
        <v>0</v>
      </c>
      <c r="AF446" s="139">
        <v>0</v>
      </c>
      <c r="AG446" s="139">
        <v>0</v>
      </c>
      <c r="AH446" s="139">
        <v>0</v>
      </c>
      <c r="AI446" s="139">
        <v>0</v>
      </c>
      <c r="AJ446" s="139">
        <v>0</v>
      </c>
      <c r="AK446" s="139">
        <v>0</v>
      </c>
      <c r="AL446" s="139">
        <v>0</v>
      </c>
      <c r="AM446" s="139">
        <v>0</v>
      </c>
      <c r="AN446" s="139">
        <v>0</v>
      </c>
      <c r="AO446" s="139">
        <v>0</v>
      </c>
      <c r="AP446" s="139">
        <v>0</v>
      </c>
      <c r="AQ446" s="139">
        <v>0</v>
      </c>
      <c r="AR446" s="139">
        <v>0</v>
      </c>
      <c r="AS446" s="139">
        <v>0</v>
      </c>
      <c r="AT446" s="139">
        <v>0</v>
      </c>
      <c r="AU446" s="139">
        <v>26544</v>
      </c>
      <c r="AV446" s="140"/>
    </row>
    <row r="447" spans="1:48" ht="15.75" customHeight="1" x14ac:dyDescent="0.2">
      <c r="A447" s="27"/>
      <c r="B447" s="136" t="s">
        <v>428</v>
      </c>
      <c r="C447" s="141">
        <v>0</v>
      </c>
      <c r="D447" s="138">
        <v>0</v>
      </c>
      <c r="E447" s="139">
        <v>0</v>
      </c>
      <c r="F447" s="139">
        <v>0</v>
      </c>
      <c r="G447" s="139">
        <v>0</v>
      </c>
      <c r="H447" s="139">
        <v>0</v>
      </c>
      <c r="I447" s="139">
        <v>0</v>
      </c>
      <c r="J447" s="139">
        <v>0</v>
      </c>
      <c r="K447" s="139">
        <v>0</v>
      </c>
      <c r="L447" s="139">
        <v>0</v>
      </c>
      <c r="M447" s="139">
        <v>0</v>
      </c>
      <c r="N447" s="139">
        <v>0</v>
      </c>
      <c r="O447" s="139">
        <v>0</v>
      </c>
      <c r="P447" s="139">
        <v>0</v>
      </c>
      <c r="Q447" s="139">
        <v>0</v>
      </c>
      <c r="R447" s="139">
        <v>0</v>
      </c>
      <c r="S447" s="139">
        <v>0</v>
      </c>
      <c r="T447" s="139">
        <v>0</v>
      </c>
      <c r="U447" s="139">
        <v>0</v>
      </c>
      <c r="V447" s="139">
        <v>0</v>
      </c>
      <c r="W447" s="139">
        <v>0</v>
      </c>
      <c r="X447" s="139">
        <v>0</v>
      </c>
      <c r="Y447" s="139">
        <v>0</v>
      </c>
      <c r="Z447" s="139">
        <v>0</v>
      </c>
      <c r="AA447" s="139">
        <v>0</v>
      </c>
      <c r="AB447" s="139">
        <v>0</v>
      </c>
      <c r="AC447" s="139">
        <v>0</v>
      </c>
      <c r="AD447" s="139">
        <v>0</v>
      </c>
      <c r="AE447" s="139">
        <v>0</v>
      </c>
      <c r="AF447" s="139">
        <v>0</v>
      </c>
      <c r="AG447" s="139">
        <v>0</v>
      </c>
      <c r="AH447" s="139">
        <v>0</v>
      </c>
      <c r="AI447" s="139">
        <v>0</v>
      </c>
      <c r="AJ447" s="139">
        <v>0</v>
      </c>
      <c r="AK447" s="139">
        <v>0</v>
      </c>
      <c r="AL447" s="139">
        <v>0</v>
      </c>
      <c r="AM447" s="139">
        <v>0</v>
      </c>
      <c r="AN447" s="139">
        <v>0</v>
      </c>
      <c r="AO447" s="139">
        <v>0</v>
      </c>
      <c r="AP447" s="139">
        <v>0</v>
      </c>
      <c r="AQ447" s="139">
        <v>0</v>
      </c>
      <c r="AR447" s="139">
        <v>0</v>
      </c>
      <c r="AS447" s="139">
        <v>0</v>
      </c>
      <c r="AT447" s="139">
        <v>0</v>
      </c>
      <c r="AU447" s="139">
        <v>15912</v>
      </c>
      <c r="AV447" s="140"/>
    </row>
    <row r="448" spans="1:48" ht="15.75" customHeight="1" x14ac:dyDescent="0.2">
      <c r="A448" s="27"/>
      <c r="B448" s="136" t="s">
        <v>429</v>
      </c>
      <c r="C448" s="141">
        <v>0</v>
      </c>
      <c r="D448" s="138">
        <v>0</v>
      </c>
      <c r="E448" s="139">
        <v>0</v>
      </c>
      <c r="F448" s="139">
        <v>0</v>
      </c>
      <c r="G448" s="139">
        <v>0</v>
      </c>
      <c r="H448" s="139">
        <v>0</v>
      </c>
      <c r="I448" s="139">
        <v>0</v>
      </c>
      <c r="J448" s="139">
        <v>0</v>
      </c>
      <c r="K448" s="139">
        <v>0</v>
      </c>
      <c r="L448" s="139">
        <v>0</v>
      </c>
      <c r="M448" s="139">
        <v>0</v>
      </c>
      <c r="N448" s="139">
        <v>0</v>
      </c>
      <c r="O448" s="139">
        <v>0</v>
      </c>
      <c r="P448" s="139">
        <v>0</v>
      </c>
      <c r="Q448" s="139">
        <v>0</v>
      </c>
      <c r="R448" s="139">
        <v>0</v>
      </c>
      <c r="S448" s="139">
        <v>0</v>
      </c>
      <c r="T448" s="139">
        <v>0</v>
      </c>
      <c r="U448" s="139">
        <v>0</v>
      </c>
      <c r="V448" s="139">
        <v>0</v>
      </c>
      <c r="W448" s="139">
        <v>0</v>
      </c>
      <c r="X448" s="139">
        <v>0</v>
      </c>
      <c r="Y448" s="139">
        <v>0</v>
      </c>
      <c r="Z448" s="139">
        <v>0</v>
      </c>
      <c r="AA448" s="139">
        <v>0</v>
      </c>
      <c r="AB448" s="139">
        <v>0</v>
      </c>
      <c r="AC448" s="139">
        <v>0</v>
      </c>
      <c r="AD448" s="139">
        <v>0</v>
      </c>
      <c r="AE448" s="139">
        <v>0</v>
      </c>
      <c r="AF448" s="139">
        <v>0</v>
      </c>
      <c r="AG448" s="139">
        <v>0</v>
      </c>
      <c r="AH448" s="139">
        <v>0</v>
      </c>
      <c r="AI448" s="139">
        <v>0</v>
      </c>
      <c r="AJ448" s="139">
        <v>0</v>
      </c>
      <c r="AK448" s="139">
        <v>0</v>
      </c>
      <c r="AL448" s="139">
        <v>0</v>
      </c>
      <c r="AM448" s="139">
        <v>0</v>
      </c>
      <c r="AN448" s="139">
        <v>0</v>
      </c>
      <c r="AO448" s="139">
        <v>0</v>
      </c>
      <c r="AP448" s="139">
        <v>0</v>
      </c>
      <c r="AQ448" s="139">
        <v>0</v>
      </c>
      <c r="AR448" s="139">
        <v>0</v>
      </c>
      <c r="AS448" s="139">
        <v>0</v>
      </c>
      <c r="AT448" s="139">
        <v>0</v>
      </c>
      <c r="AU448" s="139">
        <v>47223</v>
      </c>
      <c r="AV448" s="140"/>
    </row>
    <row r="449" spans="1:48" ht="15.75" customHeight="1" x14ac:dyDescent="0.2">
      <c r="A449" s="27"/>
      <c r="B449" s="136" t="s">
        <v>430</v>
      </c>
      <c r="C449" s="141">
        <v>0</v>
      </c>
      <c r="D449" s="138">
        <v>0</v>
      </c>
      <c r="E449" s="139">
        <v>0</v>
      </c>
      <c r="F449" s="139">
        <v>0</v>
      </c>
      <c r="G449" s="139">
        <v>0</v>
      </c>
      <c r="H449" s="139">
        <v>0</v>
      </c>
      <c r="I449" s="139">
        <v>0</v>
      </c>
      <c r="J449" s="139">
        <v>0</v>
      </c>
      <c r="K449" s="139">
        <v>0</v>
      </c>
      <c r="L449" s="139">
        <v>0</v>
      </c>
      <c r="M449" s="139">
        <v>0</v>
      </c>
      <c r="N449" s="139">
        <v>0</v>
      </c>
      <c r="O449" s="139">
        <v>0</v>
      </c>
      <c r="P449" s="139">
        <v>0</v>
      </c>
      <c r="Q449" s="139">
        <v>0</v>
      </c>
      <c r="R449" s="139">
        <v>0</v>
      </c>
      <c r="S449" s="139">
        <v>0</v>
      </c>
      <c r="T449" s="139">
        <v>0</v>
      </c>
      <c r="U449" s="139">
        <v>0</v>
      </c>
      <c r="V449" s="139">
        <v>0</v>
      </c>
      <c r="W449" s="139">
        <v>0</v>
      </c>
      <c r="X449" s="139">
        <v>0</v>
      </c>
      <c r="Y449" s="139">
        <v>0</v>
      </c>
      <c r="Z449" s="139">
        <v>0</v>
      </c>
      <c r="AA449" s="139">
        <v>0</v>
      </c>
      <c r="AB449" s="139">
        <v>0</v>
      </c>
      <c r="AC449" s="139">
        <v>0</v>
      </c>
      <c r="AD449" s="139">
        <v>0</v>
      </c>
      <c r="AE449" s="139">
        <v>0</v>
      </c>
      <c r="AF449" s="139">
        <v>0</v>
      </c>
      <c r="AG449" s="139">
        <v>0</v>
      </c>
      <c r="AH449" s="139">
        <v>0</v>
      </c>
      <c r="AI449" s="139">
        <v>0</v>
      </c>
      <c r="AJ449" s="139">
        <v>0</v>
      </c>
      <c r="AK449" s="139">
        <v>0</v>
      </c>
      <c r="AL449" s="139">
        <v>0</v>
      </c>
      <c r="AM449" s="139">
        <v>0</v>
      </c>
      <c r="AN449" s="139">
        <v>0</v>
      </c>
      <c r="AO449" s="139">
        <v>0</v>
      </c>
      <c r="AP449" s="139">
        <v>0</v>
      </c>
      <c r="AQ449" s="139">
        <v>0</v>
      </c>
      <c r="AR449" s="139">
        <v>0</v>
      </c>
      <c r="AS449" s="139">
        <v>0</v>
      </c>
      <c r="AT449" s="139">
        <v>0</v>
      </c>
      <c r="AU449" s="139">
        <v>97121</v>
      </c>
      <c r="AV449" s="140"/>
    </row>
    <row r="450" spans="1:48" ht="15.75" customHeight="1" x14ac:dyDescent="0.2">
      <c r="A450" s="27"/>
      <c r="B450" s="136" t="s">
        <v>431</v>
      </c>
      <c r="C450" s="141">
        <v>0</v>
      </c>
      <c r="D450" s="138">
        <v>0</v>
      </c>
      <c r="E450" s="139">
        <v>0</v>
      </c>
      <c r="F450" s="139">
        <v>0</v>
      </c>
      <c r="G450" s="139">
        <v>0</v>
      </c>
      <c r="H450" s="139">
        <v>0</v>
      </c>
      <c r="I450" s="139">
        <v>0</v>
      </c>
      <c r="J450" s="139">
        <v>0</v>
      </c>
      <c r="K450" s="139">
        <v>0</v>
      </c>
      <c r="L450" s="139">
        <v>0</v>
      </c>
      <c r="M450" s="139">
        <v>0</v>
      </c>
      <c r="N450" s="139">
        <v>0</v>
      </c>
      <c r="O450" s="139">
        <v>0</v>
      </c>
      <c r="P450" s="139">
        <v>0</v>
      </c>
      <c r="Q450" s="139">
        <v>0</v>
      </c>
      <c r="R450" s="139">
        <v>0</v>
      </c>
      <c r="S450" s="139">
        <v>0</v>
      </c>
      <c r="T450" s="139">
        <v>0</v>
      </c>
      <c r="U450" s="139">
        <v>0</v>
      </c>
      <c r="V450" s="139">
        <v>0</v>
      </c>
      <c r="W450" s="139">
        <v>0</v>
      </c>
      <c r="X450" s="139">
        <v>0</v>
      </c>
      <c r="Y450" s="139">
        <v>0</v>
      </c>
      <c r="Z450" s="139">
        <v>0</v>
      </c>
      <c r="AA450" s="139">
        <v>0</v>
      </c>
      <c r="AB450" s="139">
        <v>0</v>
      </c>
      <c r="AC450" s="139">
        <v>0</v>
      </c>
      <c r="AD450" s="139">
        <v>0</v>
      </c>
      <c r="AE450" s="139">
        <v>0</v>
      </c>
      <c r="AF450" s="139">
        <v>0</v>
      </c>
      <c r="AG450" s="139">
        <v>0</v>
      </c>
      <c r="AH450" s="139">
        <v>0</v>
      </c>
      <c r="AI450" s="139">
        <v>0</v>
      </c>
      <c r="AJ450" s="139">
        <v>0</v>
      </c>
      <c r="AK450" s="139">
        <v>0</v>
      </c>
      <c r="AL450" s="139">
        <v>0</v>
      </c>
      <c r="AM450" s="139">
        <v>0</v>
      </c>
      <c r="AN450" s="139">
        <v>0</v>
      </c>
      <c r="AO450" s="139">
        <v>0</v>
      </c>
      <c r="AP450" s="139">
        <v>0</v>
      </c>
      <c r="AQ450" s="139">
        <v>0</v>
      </c>
      <c r="AR450" s="139">
        <v>0</v>
      </c>
      <c r="AS450" s="139">
        <v>0</v>
      </c>
      <c r="AT450" s="139">
        <v>0</v>
      </c>
      <c r="AU450" s="139">
        <v>14400</v>
      </c>
      <c r="AV450" s="140"/>
    </row>
    <row r="451" spans="1:48" ht="15.75" customHeight="1" x14ac:dyDescent="0.2">
      <c r="A451" s="27"/>
      <c r="B451" s="136" t="s">
        <v>432</v>
      </c>
      <c r="C451" s="141">
        <v>0</v>
      </c>
      <c r="D451" s="138">
        <v>0</v>
      </c>
      <c r="E451" s="139">
        <v>0</v>
      </c>
      <c r="F451" s="139">
        <v>0</v>
      </c>
      <c r="G451" s="139">
        <v>0</v>
      </c>
      <c r="H451" s="139">
        <v>0</v>
      </c>
      <c r="I451" s="139">
        <v>0</v>
      </c>
      <c r="J451" s="139">
        <v>0</v>
      </c>
      <c r="K451" s="139">
        <v>0</v>
      </c>
      <c r="L451" s="139">
        <v>0</v>
      </c>
      <c r="M451" s="139">
        <v>0</v>
      </c>
      <c r="N451" s="139">
        <v>0</v>
      </c>
      <c r="O451" s="139">
        <v>0</v>
      </c>
      <c r="P451" s="139">
        <v>0</v>
      </c>
      <c r="Q451" s="139">
        <v>0</v>
      </c>
      <c r="R451" s="139">
        <v>0</v>
      </c>
      <c r="S451" s="139">
        <v>0</v>
      </c>
      <c r="T451" s="139">
        <v>0</v>
      </c>
      <c r="U451" s="139">
        <v>0</v>
      </c>
      <c r="V451" s="139">
        <v>0</v>
      </c>
      <c r="W451" s="139">
        <v>0</v>
      </c>
      <c r="X451" s="139">
        <v>0</v>
      </c>
      <c r="Y451" s="139">
        <v>0</v>
      </c>
      <c r="Z451" s="139">
        <v>0</v>
      </c>
      <c r="AA451" s="139">
        <v>0</v>
      </c>
      <c r="AB451" s="139">
        <v>0</v>
      </c>
      <c r="AC451" s="139">
        <v>0</v>
      </c>
      <c r="AD451" s="139">
        <v>0</v>
      </c>
      <c r="AE451" s="139">
        <v>0</v>
      </c>
      <c r="AF451" s="139">
        <v>0</v>
      </c>
      <c r="AG451" s="139">
        <v>0</v>
      </c>
      <c r="AH451" s="139">
        <v>0</v>
      </c>
      <c r="AI451" s="139">
        <v>0</v>
      </c>
      <c r="AJ451" s="139">
        <v>0</v>
      </c>
      <c r="AK451" s="139">
        <v>0</v>
      </c>
      <c r="AL451" s="139">
        <v>0</v>
      </c>
      <c r="AM451" s="139">
        <v>0</v>
      </c>
      <c r="AN451" s="139">
        <v>0</v>
      </c>
      <c r="AO451" s="139">
        <v>0</v>
      </c>
      <c r="AP451" s="139">
        <v>0</v>
      </c>
      <c r="AQ451" s="139">
        <v>0</v>
      </c>
      <c r="AR451" s="139">
        <v>0</v>
      </c>
      <c r="AS451" s="139">
        <v>0</v>
      </c>
      <c r="AT451" s="139">
        <v>0</v>
      </c>
      <c r="AU451" s="139">
        <v>57120</v>
      </c>
      <c r="AV451" s="140"/>
    </row>
    <row r="452" spans="1:48" ht="15.75" customHeight="1" x14ac:dyDescent="0.2">
      <c r="A452" s="27"/>
      <c r="B452" s="136" t="s">
        <v>433</v>
      </c>
      <c r="C452" s="141">
        <v>0</v>
      </c>
      <c r="D452" s="138">
        <v>0</v>
      </c>
      <c r="E452" s="139">
        <v>0</v>
      </c>
      <c r="F452" s="139">
        <v>0</v>
      </c>
      <c r="G452" s="139">
        <v>0</v>
      </c>
      <c r="H452" s="139">
        <v>0</v>
      </c>
      <c r="I452" s="139">
        <v>0</v>
      </c>
      <c r="J452" s="139">
        <v>0</v>
      </c>
      <c r="K452" s="139">
        <v>0</v>
      </c>
      <c r="L452" s="139">
        <v>0</v>
      </c>
      <c r="M452" s="139">
        <v>0</v>
      </c>
      <c r="N452" s="139">
        <v>0</v>
      </c>
      <c r="O452" s="139">
        <v>0</v>
      </c>
      <c r="P452" s="139">
        <v>0</v>
      </c>
      <c r="Q452" s="139">
        <v>0</v>
      </c>
      <c r="R452" s="139">
        <v>0</v>
      </c>
      <c r="S452" s="139">
        <v>0</v>
      </c>
      <c r="T452" s="139">
        <v>0</v>
      </c>
      <c r="U452" s="139">
        <v>0</v>
      </c>
      <c r="V452" s="139">
        <v>0</v>
      </c>
      <c r="W452" s="139">
        <v>0</v>
      </c>
      <c r="X452" s="139">
        <v>0</v>
      </c>
      <c r="Y452" s="139">
        <v>0</v>
      </c>
      <c r="Z452" s="139">
        <v>0</v>
      </c>
      <c r="AA452" s="139">
        <v>0</v>
      </c>
      <c r="AB452" s="139">
        <v>0</v>
      </c>
      <c r="AC452" s="139">
        <v>0</v>
      </c>
      <c r="AD452" s="139">
        <v>0</v>
      </c>
      <c r="AE452" s="139">
        <v>0</v>
      </c>
      <c r="AF452" s="139">
        <v>0</v>
      </c>
      <c r="AG452" s="139">
        <v>0</v>
      </c>
      <c r="AH452" s="139">
        <v>0</v>
      </c>
      <c r="AI452" s="139">
        <v>0</v>
      </c>
      <c r="AJ452" s="139">
        <v>0</v>
      </c>
      <c r="AK452" s="139">
        <v>0</v>
      </c>
      <c r="AL452" s="139">
        <v>0</v>
      </c>
      <c r="AM452" s="139">
        <v>0</v>
      </c>
      <c r="AN452" s="139">
        <v>0</v>
      </c>
      <c r="AO452" s="139">
        <v>0</v>
      </c>
      <c r="AP452" s="139">
        <v>0</v>
      </c>
      <c r="AQ452" s="139">
        <v>0</v>
      </c>
      <c r="AR452" s="139">
        <v>0</v>
      </c>
      <c r="AS452" s="139">
        <v>0</v>
      </c>
      <c r="AT452" s="139">
        <v>0</v>
      </c>
      <c r="AU452" s="139">
        <v>24000</v>
      </c>
      <c r="AV452" s="140"/>
    </row>
    <row r="453" spans="1:48" ht="15.75" customHeight="1" x14ac:dyDescent="0.2">
      <c r="A453" s="27"/>
      <c r="B453" s="136" t="s">
        <v>434</v>
      </c>
      <c r="C453" s="141">
        <v>0</v>
      </c>
      <c r="D453" s="138">
        <v>0</v>
      </c>
      <c r="E453" s="139">
        <v>0</v>
      </c>
      <c r="F453" s="139">
        <v>0</v>
      </c>
      <c r="G453" s="139">
        <v>0</v>
      </c>
      <c r="H453" s="139">
        <v>0</v>
      </c>
      <c r="I453" s="139">
        <v>0</v>
      </c>
      <c r="J453" s="139">
        <v>0</v>
      </c>
      <c r="K453" s="139">
        <v>0</v>
      </c>
      <c r="L453" s="139">
        <v>0</v>
      </c>
      <c r="M453" s="139">
        <v>0</v>
      </c>
      <c r="N453" s="139">
        <v>0</v>
      </c>
      <c r="O453" s="139">
        <v>0</v>
      </c>
      <c r="P453" s="139">
        <v>0</v>
      </c>
      <c r="Q453" s="139">
        <v>0</v>
      </c>
      <c r="R453" s="139">
        <v>0</v>
      </c>
      <c r="S453" s="139">
        <v>0</v>
      </c>
      <c r="T453" s="139">
        <v>0</v>
      </c>
      <c r="U453" s="139">
        <v>0</v>
      </c>
      <c r="V453" s="139">
        <v>0</v>
      </c>
      <c r="W453" s="139">
        <v>0</v>
      </c>
      <c r="X453" s="139">
        <v>0</v>
      </c>
      <c r="Y453" s="139">
        <v>0</v>
      </c>
      <c r="Z453" s="139">
        <v>0</v>
      </c>
      <c r="AA453" s="139">
        <v>0</v>
      </c>
      <c r="AB453" s="139">
        <v>0</v>
      </c>
      <c r="AC453" s="139">
        <v>0</v>
      </c>
      <c r="AD453" s="139">
        <v>0</v>
      </c>
      <c r="AE453" s="139">
        <v>0</v>
      </c>
      <c r="AF453" s="139">
        <v>0</v>
      </c>
      <c r="AG453" s="139">
        <v>0</v>
      </c>
      <c r="AH453" s="139">
        <v>0</v>
      </c>
      <c r="AI453" s="139">
        <v>0</v>
      </c>
      <c r="AJ453" s="139">
        <v>0</v>
      </c>
      <c r="AK453" s="139">
        <v>0</v>
      </c>
      <c r="AL453" s="139">
        <v>0</v>
      </c>
      <c r="AM453" s="139">
        <v>0</v>
      </c>
      <c r="AN453" s="139">
        <v>0</v>
      </c>
      <c r="AO453" s="139">
        <v>0</v>
      </c>
      <c r="AP453" s="139">
        <v>0</v>
      </c>
      <c r="AQ453" s="139">
        <v>0</v>
      </c>
      <c r="AR453" s="139">
        <v>0</v>
      </c>
      <c r="AS453" s="139">
        <v>0</v>
      </c>
      <c r="AT453" s="139">
        <v>0</v>
      </c>
      <c r="AU453" s="139">
        <v>52980</v>
      </c>
      <c r="AV453" s="140"/>
    </row>
    <row r="454" spans="1:48" ht="15.75" customHeight="1" x14ac:dyDescent="0.2">
      <c r="A454" s="27"/>
      <c r="B454" s="136" t="s">
        <v>435</v>
      </c>
      <c r="C454" s="141">
        <v>0</v>
      </c>
      <c r="D454" s="138">
        <v>0</v>
      </c>
      <c r="E454" s="139">
        <v>0</v>
      </c>
      <c r="F454" s="139">
        <v>0</v>
      </c>
      <c r="G454" s="139">
        <v>0</v>
      </c>
      <c r="H454" s="139">
        <v>0</v>
      </c>
      <c r="I454" s="139">
        <v>0</v>
      </c>
      <c r="J454" s="139">
        <v>0</v>
      </c>
      <c r="K454" s="139">
        <v>0</v>
      </c>
      <c r="L454" s="139">
        <v>0</v>
      </c>
      <c r="M454" s="139">
        <v>0</v>
      </c>
      <c r="N454" s="139">
        <v>0</v>
      </c>
      <c r="O454" s="139">
        <v>0</v>
      </c>
      <c r="P454" s="139">
        <v>0</v>
      </c>
      <c r="Q454" s="139">
        <v>0</v>
      </c>
      <c r="R454" s="139">
        <v>0</v>
      </c>
      <c r="S454" s="139">
        <v>0</v>
      </c>
      <c r="T454" s="139">
        <v>0</v>
      </c>
      <c r="U454" s="139">
        <v>0</v>
      </c>
      <c r="V454" s="139">
        <v>0</v>
      </c>
      <c r="W454" s="139">
        <v>0</v>
      </c>
      <c r="X454" s="139">
        <v>0</v>
      </c>
      <c r="Y454" s="139">
        <v>0</v>
      </c>
      <c r="Z454" s="139">
        <v>0</v>
      </c>
      <c r="AA454" s="139">
        <v>0</v>
      </c>
      <c r="AB454" s="139">
        <v>0</v>
      </c>
      <c r="AC454" s="139">
        <v>0</v>
      </c>
      <c r="AD454" s="139">
        <v>0</v>
      </c>
      <c r="AE454" s="139">
        <v>0</v>
      </c>
      <c r="AF454" s="139">
        <v>0</v>
      </c>
      <c r="AG454" s="139">
        <v>0</v>
      </c>
      <c r="AH454" s="139">
        <v>0</v>
      </c>
      <c r="AI454" s="139">
        <v>0</v>
      </c>
      <c r="AJ454" s="139">
        <v>0</v>
      </c>
      <c r="AK454" s="139">
        <v>0</v>
      </c>
      <c r="AL454" s="139">
        <v>0</v>
      </c>
      <c r="AM454" s="139">
        <v>0</v>
      </c>
      <c r="AN454" s="139">
        <v>0</v>
      </c>
      <c r="AO454" s="139">
        <v>0</v>
      </c>
      <c r="AP454" s="139">
        <v>0</v>
      </c>
      <c r="AQ454" s="139">
        <v>0</v>
      </c>
      <c r="AR454" s="139">
        <v>0</v>
      </c>
      <c r="AS454" s="139">
        <v>0</v>
      </c>
      <c r="AT454" s="139">
        <v>0</v>
      </c>
      <c r="AU454" s="139">
        <v>14400</v>
      </c>
      <c r="AV454" s="140"/>
    </row>
    <row r="455" spans="1:48" ht="15.75" customHeight="1" x14ac:dyDescent="0.2">
      <c r="A455" s="27"/>
      <c r="B455" s="136" t="s">
        <v>436</v>
      </c>
      <c r="C455" s="141">
        <v>0</v>
      </c>
      <c r="D455" s="138">
        <v>0</v>
      </c>
      <c r="E455" s="139">
        <v>0</v>
      </c>
      <c r="F455" s="139">
        <v>0</v>
      </c>
      <c r="G455" s="139">
        <v>0</v>
      </c>
      <c r="H455" s="139">
        <v>0</v>
      </c>
      <c r="I455" s="139">
        <v>0</v>
      </c>
      <c r="J455" s="139">
        <v>0</v>
      </c>
      <c r="K455" s="139">
        <v>0</v>
      </c>
      <c r="L455" s="139">
        <v>0</v>
      </c>
      <c r="M455" s="139">
        <v>0</v>
      </c>
      <c r="N455" s="139">
        <v>0</v>
      </c>
      <c r="O455" s="139">
        <v>0</v>
      </c>
      <c r="P455" s="139">
        <v>0</v>
      </c>
      <c r="Q455" s="139">
        <v>0</v>
      </c>
      <c r="R455" s="139">
        <v>0</v>
      </c>
      <c r="S455" s="139">
        <v>0</v>
      </c>
      <c r="T455" s="139">
        <v>0</v>
      </c>
      <c r="U455" s="139">
        <v>0</v>
      </c>
      <c r="V455" s="139">
        <v>0</v>
      </c>
      <c r="W455" s="139">
        <v>0</v>
      </c>
      <c r="X455" s="139">
        <v>0</v>
      </c>
      <c r="Y455" s="139">
        <v>0</v>
      </c>
      <c r="Z455" s="139">
        <v>0</v>
      </c>
      <c r="AA455" s="139">
        <v>0</v>
      </c>
      <c r="AB455" s="139">
        <v>0</v>
      </c>
      <c r="AC455" s="139">
        <v>0</v>
      </c>
      <c r="AD455" s="139">
        <v>0</v>
      </c>
      <c r="AE455" s="139">
        <v>0</v>
      </c>
      <c r="AF455" s="139">
        <v>0</v>
      </c>
      <c r="AG455" s="139">
        <v>0</v>
      </c>
      <c r="AH455" s="139">
        <v>0</v>
      </c>
      <c r="AI455" s="139">
        <v>0</v>
      </c>
      <c r="AJ455" s="139">
        <v>0</v>
      </c>
      <c r="AK455" s="139">
        <v>0</v>
      </c>
      <c r="AL455" s="139">
        <v>0</v>
      </c>
      <c r="AM455" s="139">
        <v>0</v>
      </c>
      <c r="AN455" s="139">
        <v>0</v>
      </c>
      <c r="AO455" s="139">
        <v>0</v>
      </c>
      <c r="AP455" s="139">
        <v>0</v>
      </c>
      <c r="AQ455" s="139">
        <v>0</v>
      </c>
      <c r="AR455" s="139">
        <v>0</v>
      </c>
      <c r="AS455" s="139">
        <v>0</v>
      </c>
      <c r="AT455" s="139">
        <v>0</v>
      </c>
      <c r="AU455" s="139">
        <v>48000</v>
      </c>
      <c r="AV455" s="140"/>
    </row>
    <row r="456" spans="1:48" ht="15.75" customHeight="1" x14ac:dyDescent="0.2">
      <c r="A456" s="27"/>
      <c r="B456" s="136" t="s">
        <v>437</v>
      </c>
      <c r="C456" s="141">
        <v>0</v>
      </c>
      <c r="D456" s="138">
        <v>0</v>
      </c>
      <c r="E456" s="139">
        <v>0</v>
      </c>
      <c r="F456" s="139">
        <v>0</v>
      </c>
      <c r="G456" s="139">
        <v>0</v>
      </c>
      <c r="H456" s="139">
        <v>0</v>
      </c>
      <c r="I456" s="139">
        <v>0</v>
      </c>
      <c r="J456" s="139">
        <v>0</v>
      </c>
      <c r="K456" s="139">
        <v>0</v>
      </c>
      <c r="L456" s="139">
        <v>0</v>
      </c>
      <c r="M456" s="139">
        <v>0</v>
      </c>
      <c r="N456" s="139">
        <v>0</v>
      </c>
      <c r="O456" s="139">
        <v>0</v>
      </c>
      <c r="P456" s="139">
        <v>0</v>
      </c>
      <c r="Q456" s="139">
        <v>0</v>
      </c>
      <c r="R456" s="139">
        <v>0</v>
      </c>
      <c r="S456" s="139">
        <v>0</v>
      </c>
      <c r="T456" s="139">
        <v>0</v>
      </c>
      <c r="U456" s="139">
        <v>0</v>
      </c>
      <c r="V456" s="139">
        <v>0</v>
      </c>
      <c r="W456" s="139">
        <v>0</v>
      </c>
      <c r="X456" s="139">
        <v>0</v>
      </c>
      <c r="Y456" s="139">
        <v>0</v>
      </c>
      <c r="Z456" s="139">
        <v>0</v>
      </c>
      <c r="AA456" s="139">
        <v>0</v>
      </c>
      <c r="AB456" s="139">
        <v>0</v>
      </c>
      <c r="AC456" s="139">
        <v>0</v>
      </c>
      <c r="AD456" s="139">
        <v>0</v>
      </c>
      <c r="AE456" s="139">
        <v>0</v>
      </c>
      <c r="AF456" s="139">
        <v>0</v>
      </c>
      <c r="AG456" s="139">
        <v>0</v>
      </c>
      <c r="AH456" s="139">
        <v>0</v>
      </c>
      <c r="AI456" s="139">
        <v>0</v>
      </c>
      <c r="AJ456" s="139">
        <v>0</v>
      </c>
      <c r="AK456" s="139">
        <v>0</v>
      </c>
      <c r="AL456" s="139">
        <v>0</v>
      </c>
      <c r="AM456" s="139">
        <v>0</v>
      </c>
      <c r="AN456" s="139">
        <v>0</v>
      </c>
      <c r="AO456" s="139">
        <v>0</v>
      </c>
      <c r="AP456" s="139">
        <v>0</v>
      </c>
      <c r="AQ456" s="139">
        <v>0</v>
      </c>
      <c r="AR456" s="139">
        <v>0</v>
      </c>
      <c r="AS456" s="139">
        <v>0</v>
      </c>
      <c r="AT456" s="139">
        <v>0</v>
      </c>
      <c r="AU456" s="139">
        <v>14490</v>
      </c>
      <c r="AV456" s="140"/>
    </row>
    <row r="457" spans="1:48" ht="15.75" customHeight="1" x14ac:dyDescent="0.2">
      <c r="A457" s="27"/>
      <c r="B457" s="136" t="s">
        <v>438</v>
      </c>
      <c r="C457" s="141">
        <v>0</v>
      </c>
      <c r="D457" s="138">
        <v>0</v>
      </c>
      <c r="E457" s="139">
        <v>0</v>
      </c>
      <c r="F457" s="139">
        <v>0</v>
      </c>
      <c r="G457" s="139">
        <v>0</v>
      </c>
      <c r="H457" s="139">
        <v>0</v>
      </c>
      <c r="I457" s="139">
        <v>0</v>
      </c>
      <c r="J457" s="139">
        <v>0</v>
      </c>
      <c r="K457" s="139">
        <v>0</v>
      </c>
      <c r="L457" s="139">
        <v>0</v>
      </c>
      <c r="M457" s="139">
        <v>0</v>
      </c>
      <c r="N457" s="139">
        <v>0</v>
      </c>
      <c r="O457" s="139">
        <v>0</v>
      </c>
      <c r="P457" s="139">
        <v>0</v>
      </c>
      <c r="Q457" s="139">
        <v>0</v>
      </c>
      <c r="R457" s="139">
        <v>0</v>
      </c>
      <c r="S457" s="139">
        <v>0</v>
      </c>
      <c r="T457" s="139">
        <v>0</v>
      </c>
      <c r="U457" s="139">
        <v>0</v>
      </c>
      <c r="V457" s="139">
        <v>0</v>
      </c>
      <c r="W457" s="139">
        <v>0</v>
      </c>
      <c r="X457" s="139">
        <v>0</v>
      </c>
      <c r="Y457" s="139">
        <v>0</v>
      </c>
      <c r="Z457" s="139">
        <v>0</v>
      </c>
      <c r="AA457" s="139">
        <v>0</v>
      </c>
      <c r="AB457" s="139">
        <v>0</v>
      </c>
      <c r="AC457" s="139">
        <v>0</v>
      </c>
      <c r="AD457" s="139">
        <v>0</v>
      </c>
      <c r="AE457" s="139">
        <v>0</v>
      </c>
      <c r="AF457" s="139">
        <v>0</v>
      </c>
      <c r="AG457" s="139">
        <v>0</v>
      </c>
      <c r="AH457" s="139">
        <v>0</v>
      </c>
      <c r="AI457" s="139">
        <v>0</v>
      </c>
      <c r="AJ457" s="139">
        <v>0</v>
      </c>
      <c r="AK457" s="139">
        <v>0</v>
      </c>
      <c r="AL457" s="139">
        <v>0</v>
      </c>
      <c r="AM457" s="139">
        <v>0</v>
      </c>
      <c r="AN457" s="139">
        <v>0</v>
      </c>
      <c r="AO457" s="139">
        <v>0</v>
      </c>
      <c r="AP457" s="139">
        <v>0</v>
      </c>
      <c r="AQ457" s="139">
        <v>0</v>
      </c>
      <c r="AR457" s="139">
        <v>0</v>
      </c>
      <c r="AS457" s="139">
        <v>0</v>
      </c>
      <c r="AT457" s="139">
        <v>0</v>
      </c>
      <c r="AU457" s="139">
        <v>14480</v>
      </c>
      <c r="AV457" s="140"/>
    </row>
    <row r="458" spans="1:48" ht="15.75" customHeight="1" x14ac:dyDescent="0.2">
      <c r="A458" s="27"/>
      <c r="B458" s="136" t="s">
        <v>439</v>
      </c>
      <c r="C458" s="141">
        <v>0</v>
      </c>
      <c r="D458" s="138">
        <v>0</v>
      </c>
      <c r="E458" s="139">
        <v>0</v>
      </c>
      <c r="F458" s="139">
        <v>0</v>
      </c>
      <c r="G458" s="139">
        <v>0</v>
      </c>
      <c r="H458" s="139">
        <v>0</v>
      </c>
      <c r="I458" s="139">
        <v>0</v>
      </c>
      <c r="J458" s="139">
        <v>0</v>
      </c>
      <c r="K458" s="139">
        <v>0</v>
      </c>
      <c r="L458" s="139">
        <v>0</v>
      </c>
      <c r="M458" s="139">
        <v>0</v>
      </c>
      <c r="N458" s="139">
        <v>0</v>
      </c>
      <c r="O458" s="139">
        <v>0</v>
      </c>
      <c r="P458" s="139">
        <v>0</v>
      </c>
      <c r="Q458" s="139">
        <v>0</v>
      </c>
      <c r="R458" s="139">
        <v>0</v>
      </c>
      <c r="S458" s="139">
        <v>0</v>
      </c>
      <c r="T458" s="139">
        <v>0</v>
      </c>
      <c r="U458" s="139">
        <v>0</v>
      </c>
      <c r="V458" s="139">
        <v>0</v>
      </c>
      <c r="W458" s="139">
        <v>0</v>
      </c>
      <c r="X458" s="139">
        <v>0</v>
      </c>
      <c r="Y458" s="139">
        <v>0</v>
      </c>
      <c r="Z458" s="139">
        <v>0</v>
      </c>
      <c r="AA458" s="139">
        <v>0</v>
      </c>
      <c r="AB458" s="139">
        <v>0</v>
      </c>
      <c r="AC458" s="139">
        <v>0</v>
      </c>
      <c r="AD458" s="139">
        <v>0</v>
      </c>
      <c r="AE458" s="139">
        <v>0</v>
      </c>
      <c r="AF458" s="139">
        <v>0</v>
      </c>
      <c r="AG458" s="139">
        <v>0</v>
      </c>
      <c r="AH458" s="139">
        <v>0</v>
      </c>
      <c r="AI458" s="139">
        <v>0</v>
      </c>
      <c r="AJ458" s="139">
        <v>0</v>
      </c>
      <c r="AK458" s="139">
        <v>0</v>
      </c>
      <c r="AL458" s="139">
        <v>0</v>
      </c>
      <c r="AM458" s="139">
        <v>0</v>
      </c>
      <c r="AN458" s="139">
        <v>0</v>
      </c>
      <c r="AO458" s="139">
        <v>0</v>
      </c>
      <c r="AP458" s="139">
        <v>0</v>
      </c>
      <c r="AQ458" s="139">
        <v>0</v>
      </c>
      <c r="AR458" s="139">
        <v>0</v>
      </c>
      <c r="AS458" s="139">
        <v>0</v>
      </c>
      <c r="AT458" s="139">
        <v>0</v>
      </c>
      <c r="AU458" s="139">
        <v>40560</v>
      </c>
      <c r="AV458" s="140"/>
    </row>
    <row r="459" spans="1:48" ht="15.75" customHeight="1" x14ac:dyDescent="0.2">
      <c r="A459" s="27"/>
      <c r="B459" s="136" t="s">
        <v>440</v>
      </c>
      <c r="C459" s="141">
        <v>0</v>
      </c>
      <c r="D459" s="138">
        <v>0</v>
      </c>
      <c r="E459" s="139">
        <v>0</v>
      </c>
      <c r="F459" s="139">
        <v>0</v>
      </c>
      <c r="G459" s="139">
        <v>0</v>
      </c>
      <c r="H459" s="139">
        <v>0</v>
      </c>
      <c r="I459" s="139">
        <v>0</v>
      </c>
      <c r="J459" s="139">
        <v>0</v>
      </c>
      <c r="K459" s="139">
        <v>0</v>
      </c>
      <c r="L459" s="139">
        <v>0</v>
      </c>
      <c r="M459" s="139">
        <v>0</v>
      </c>
      <c r="N459" s="139">
        <v>0</v>
      </c>
      <c r="O459" s="139">
        <v>0</v>
      </c>
      <c r="P459" s="139">
        <v>0</v>
      </c>
      <c r="Q459" s="139">
        <v>0</v>
      </c>
      <c r="R459" s="139">
        <v>0</v>
      </c>
      <c r="S459" s="139">
        <v>0</v>
      </c>
      <c r="T459" s="139">
        <v>0</v>
      </c>
      <c r="U459" s="139">
        <v>0</v>
      </c>
      <c r="V459" s="139">
        <v>0</v>
      </c>
      <c r="W459" s="139">
        <v>0</v>
      </c>
      <c r="X459" s="139">
        <v>0</v>
      </c>
      <c r="Y459" s="139">
        <v>0</v>
      </c>
      <c r="Z459" s="139">
        <v>0</v>
      </c>
      <c r="AA459" s="139">
        <v>0</v>
      </c>
      <c r="AB459" s="139">
        <v>0</v>
      </c>
      <c r="AC459" s="139">
        <v>0</v>
      </c>
      <c r="AD459" s="139">
        <v>0</v>
      </c>
      <c r="AE459" s="139">
        <v>0</v>
      </c>
      <c r="AF459" s="139">
        <v>0</v>
      </c>
      <c r="AG459" s="139">
        <v>0</v>
      </c>
      <c r="AH459" s="139">
        <v>0</v>
      </c>
      <c r="AI459" s="139">
        <v>0</v>
      </c>
      <c r="AJ459" s="139">
        <v>0</v>
      </c>
      <c r="AK459" s="139">
        <v>0</v>
      </c>
      <c r="AL459" s="139">
        <v>0</v>
      </c>
      <c r="AM459" s="139">
        <v>0</v>
      </c>
      <c r="AN459" s="139">
        <v>0</v>
      </c>
      <c r="AO459" s="139">
        <v>0</v>
      </c>
      <c r="AP459" s="139">
        <v>0</v>
      </c>
      <c r="AQ459" s="139">
        <v>0</v>
      </c>
      <c r="AR459" s="139">
        <v>0</v>
      </c>
      <c r="AS459" s="139">
        <v>0</v>
      </c>
      <c r="AT459" s="139">
        <v>0</v>
      </c>
      <c r="AU459" s="139">
        <v>9600</v>
      </c>
      <c r="AV459" s="140"/>
    </row>
    <row r="460" spans="1:48" ht="15.75" customHeight="1" x14ac:dyDescent="0.2">
      <c r="A460" s="27"/>
      <c r="B460" s="136" t="s">
        <v>441</v>
      </c>
      <c r="C460" s="141">
        <v>0</v>
      </c>
      <c r="D460" s="138">
        <v>0</v>
      </c>
      <c r="E460" s="139">
        <v>0</v>
      </c>
      <c r="F460" s="139">
        <v>0</v>
      </c>
      <c r="G460" s="139">
        <v>0</v>
      </c>
      <c r="H460" s="139">
        <v>0</v>
      </c>
      <c r="I460" s="139">
        <v>0</v>
      </c>
      <c r="J460" s="139">
        <v>0</v>
      </c>
      <c r="K460" s="139">
        <v>0</v>
      </c>
      <c r="L460" s="139">
        <v>0</v>
      </c>
      <c r="M460" s="139">
        <v>0</v>
      </c>
      <c r="N460" s="139">
        <v>0</v>
      </c>
      <c r="O460" s="139">
        <v>0</v>
      </c>
      <c r="P460" s="139">
        <v>0</v>
      </c>
      <c r="Q460" s="139">
        <v>0</v>
      </c>
      <c r="R460" s="139">
        <v>0</v>
      </c>
      <c r="S460" s="139">
        <v>0</v>
      </c>
      <c r="T460" s="139">
        <v>0</v>
      </c>
      <c r="U460" s="139">
        <v>0</v>
      </c>
      <c r="V460" s="139">
        <v>0</v>
      </c>
      <c r="W460" s="139">
        <v>0</v>
      </c>
      <c r="X460" s="139">
        <v>0</v>
      </c>
      <c r="Y460" s="139">
        <v>0</v>
      </c>
      <c r="Z460" s="139">
        <v>0</v>
      </c>
      <c r="AA460" s="139">
        <v>0</v>
      </c>
      <c r="AB460" s="139">
        <v>0</v>
      </c>
      <c r="AC460" s="139">
        <v>0</v>
      </c>
      <c r="AD460" s="139">
        <v>0</v>
      </c>
      <c r="AE460" s="139">
        <v>0</v>
      </c>
      <c r="AF460" s="139">
        <v>0</v>
      </c>
      <c r="AG460" s="139">
        <v>0</v>
      </c>
      <c r="AH460" s="139">
        <v>0</v>
      </c>
      <c r="AI460" s="139">
        <v>0</v>
      </c>
      <c r="AJ460" s="139">
        <v>0</v>
      </c>
      <c r="AK460" s="139">
        <v>0</v>
      </c>
      <c r="AL460" s="139">
        <v>0</v>
      </c>
      <c r="AM460" s="139">
        <v>0</v>
      </c>
      <c r="AN460" s="139">
        <v>0</v>
      </c>
      <c r="AO460" s="139">
        <v>0</v>
      </c>
      <c r="AP460" s="139">
        <v>0</v>
      </c>
      <c r="AQ460" s="139">
        <v>0</v>
      </c>
      <c r="AR460" s="139">
        <v>0</v>
      </c>
      <c r="AS460" s="139">
        <v>0</v>
      </c>
      <c r="AT460" s="139">
        <v>0</v>
      </c>
      <c r="AU460" s="139">
        <v>36000</v>
      </c>
      <c r="AV460" s="140"/>
    </row>
    <row r="461" spans="1:48" ht="15.75" customHeight="1" x14ac:dyDescent="0.2">
      <c r="A461" s="27"/>
      <c r="B461" s="136" t="s">
        <v>442</v>
      </c>
      <c r="C461" s="141">
        <v>0</v>
      </c>
      <c r="D461" s="138">
        <v>0</v>
      </c>
      <c r="E461" s="139">
        <v>0</v>
      </c>
      <c r="F461" s="139">
        <v>0</v>
      </c>
      <c r="G461" s="139">
        <v>0</v>
      </c>
      <c r="H461" s="139">
        <v>0</v>
      </c>
      <c r="I461" s="139">
        <v>0</v>
      </c>
      <c r="J461" s="139">
        <v>0</v>
      </c>
      <c r="K461" s="139">
        <v>0</v>
      </c>
      <c r="L461" s="139">
        <v>0</v>
      </c>
      <c r="M461" s="139">
        <v>0</v>
      </c>
      <c r="N461" s="139">
        <v>0</v>
      </c>
      <c r="O461" s="139">
        <v>0</v>
      </c>
      <c r="P461" s="139">
        <v>0</v>
      </c>
      <c r="Q461" s="139">
        <v>0</v>
      </c>
      <c r="R461" s="139">
        <v>0</v>
      </c>
      <c r="S461" s="139">
        <v>0</v>
      </c>
      <c r="T461" s="139">
        <v>0</v>
      </c>
      <c r="U461" s="139">
        <v>0</v>
      </c>
      <c r="V461" s="139">
        <v>0</v>
      </c>
      <c r="W461" s="139">
        <v>0</v>
      </c>
      <c r="X461" s="139">
        <v>0</v>
      </c>
      <c r="Y461" s="139">
        <v>0</v>
      </c>
      <c r="Z461" s="139">
        <v>0</v>
      </c>
      <c r="AA461" s="139">
        <v>0</v>
      </c>
      <c r="AB461" s="139">
        <v>0</v>
      </c>
      <c r="AC461" s="139">
        <v>0</v>
      </c>
      <c r="AD461" s="139">
        <v>0</v>
      </c>
      <c r="AE461" s="139">
        <v>0</v>
      </c>
      <c r="AF461" s="139">
        <v>0</v>
      </c>
      <c r="AG461" s="139">
        <v>0</v>
      </c>
      <c r="AH461" s="139">
        <v>0</v>
      </c>
      <c r="AI461" s="139">
        <v>0</v>
      </c>
      <c r="AJ461" s="139">
        <v>0</v>
      </c>
      <c r="AK461" s="139">
        <v>0</v>
      </c>
      <c r="AL461" s="139">
        <v>0</v>
      </c>
      <c r="AM461" s="139">
        <v>0</v>
      </c>
      <c r="AN461" s="139">
        <v>0</v>
      </c>
      <c r="AO461" s="139">
        <v>0</v>
      </c>
      <c r="AP461" s="139">
        <v>0</v>
      </c>
      <c r="AQ461" s="139">
        <v>0</v>
      </c>
      <c r="AR461" s="139">
        <v>0</v>
      </c>
      <c r="AS461" s="139">
        <v>0</v>
      </c>
      <c r="AT461" s="139">
        <v>0</v>
      </c>
      <c r="AU461" s="139">
        <v>23890</v>
      </c>
      <c r="AV461" s="140"/>
    </row>
    <row r="462" spans="1:48" ht="15.75" customHeight="1" x14ac:dyDescent="0.2">
      <c r="A462" s="27"/>
      <c r="B462" s="136" t="s">
        <v>443</v>
      </c>
      <c r="C462" s="141">
        <v>0</v>
      </c>
      <c r="D462" s="138">
        <v>0</v>
      </c>
      <c r="E462" s="139">
        <v>0</v>
      </c>
      <c r="F462" s="139">
        <v>0</v>
      </c>
      <c r="G462" s="139">
        <v>0</v>
      </c>
      <c r="H462" s="139">
        <v>0</v>
      </c>
      <c r="I462" s="139">
        <v>0</v>
      </c>
      <c r="J462" s="139">
        <v>0</v>
      </c>
      <c r="K462" s="139">
        <v>0</v>
      </c>
      <c r="L462" s="139">
        <v>0</v>
      </c>
      <c r="M462" s="139">
        <v>0</v>
      </c>
      <c r="N462" s="139">
        <v>0</v>
      </c>
      <c r="O462" s="139">
        <v>0</v>
      </c>
      <c r="P462" s="139">
        <v>0</v>
      </c>
      <c r="Q462" s="139">
        <v>0</v>
      </c>
      <c r="R462" s="139">
        <v>0</v>
      </c>
      <c r="S462" s="139">
        <v>0</v>
      </c>
      <c r="T462" s="139">
        <v>0</v>
      </c>
      <c r="U462" s="139">
        <v>0</v>
      </c>
      <c r="V462" s="139">
        <v>0</v>
      </c>
      <c r="W462" s="139">
        <v>0</v>
      </c>
      <c r="X462" s="139">
        <v>0</v>
      </c>
      <c r="Y462" s="139">
        <v>0</v>
      </c>
      <c r="Z462" s="139">
        <v>0</v>
      </c>
      <c r="AA462" s="139">
        <v>0</v>
      </c>
      <c r="AB462" s="139">
        <v>0</v>
      </c>
      <c r="AC462" s="139">
        <v>0</v>
      </c>
      <c r="AD462" s="139">
        <v>0</v>
      </c>
      <c r="AE462" s="139">
        <v>0</v>
      </c>
      <c r="AF462" s="139">
        <v>0</v>
      </c>
      <c r="AG462" s="139">
        <v>0</v>
      </c>
      <c r="AH462" s="139">
        <v>0</v>
      </c>
      <c r="AI462" s="139">
        <v>0</v>
      </c>
      <c r="AJ462" s="139">
        <v>0</v>
      </c>
      <c r="AK462" s="139">
        <v>0</v>
      </c>
      <c r="AL462" s="139">
        <v>0</v>
      </c>
      <c r="AM462" s="139">
        <v>0</v>
      </c>
      <c r="AN462" s="139">
        <v>0</v>
      </c>
      <c r="AO462" s="139">
        <v>0</v>
      </c>
      <c r="AP462" s="139">
        <v>0</v>
      </c>
      <c r="AQ462" s="139">
        <v>0</v>
      </c>
      <c r="AR462" s="139">
        <v>0</v>
      </c>
      <c r="AS462" s="139">
        <v>0</v>
      </c>
      <c r="AT462" s="139">
        <v>0</v>
      </c>
      <c r="AU462" s="139">
        <v>0</v>
      </c>
      <c r="AV462" s="140"/>
    </row>
    <row r="463" spans="1:48" ht="15.75" customHeight="1" x14ac:dyDescent="0.2">
      <c r="A463" s="27"/>
      <c r="B463" s="136" t="s">
        <v>444</v>
      </c>
      <c r="C463" s="141">
        <v>0</v>
      </c>
      <c r="D463" s="138">
        <v>0</v>
      </c>
      <c r="E463" s="139">
        <v>0</v>
      </c>
      <c r="F463" s="139">
        <v>0</v>
      </c>
      <c r="G463" s="139">
        <v>0</v>
      </c>
      <c r="H463" s="139">
        <v>0</v>
      </c>
      <c r="I463" s="139">
        <v>0</v>
      </c>
      <c r="J463" s="139">
        <v>0</v>
      </c>
      <c r="K463" s="139">
        <v>0</v>
      </c>
      <c r="L463" s="139">
        <v>0</v>
      </c>
      <c r="M463" s="139">
        <v>0</v>
      </c>
      <c r="N463" s="139">
        <v>0</v>
      </c>
      <c r="O463" s="139">
        <v>0</v>
      </c>
      <c r="P463" s="139">
        <v>0</v>
      </c>
      <c r="Q463" s="139">
        <v>0</v>
      </c>
      <c r="R463" s="139">
        <v>0</v>
      </c>
      <c r="S463" s="139">
        <v>0</v>
      </c>
      <c r="T463" s="139">
        <v>0</v>
      </c>
      <c r="U463" s="139">
        <v>0</v>
      </c>
      <c r="V463" s="139">
        <v>0</v>
      </c>
      <c r="W463" s="139">
        <v>0</v>
      </c>
      <c r="X463" s="139">
        <v>0</v>
      </c>
      <c r="Y463" s="139">
        <v>0</v>
      </c>
      <c r="Z463" s="139">
        <v>0</v>
      </c>
      <c r="AA463" s="139">
        <v>0</v>
      </c>
      <c r="AB463" s="139">
        <v>0</v>
      </c>
      <c r="AC463" s="139">
        <v>0</v>
      </c>
      <c r="AD463" s="139">
        <v>0</v>
      </c>
      <c r="AE463" s="139">
        <v>0</v>
      </c>
      <c r="AF463" s="139">
        <v>0</v>
      </c>
      <c r="AG463" s="139">
        <v>0</v>
      </c>
      <c r="AH463" s="139">
        <v>0</v>
      </c>
      <c r="AI463" s="139">
        <v>0</v>
      </c>
      <c r="AJ463" s="139">
        <v>0</v>
      </c>
      <c r="AK463" s="139">
        <v>0</v>
      </c>
      <c r="AL463" s="139">
        <v>0</v>
      </c>
      <c r="AM463" s="139">
        <v>0</v>
      </c>
      <c r="AN463" s="139">
        <v>0</v>
      </c>
      <c r="AO463" s="139">
        <v>0</v>
      </c>
      <c r="AP463" s="139">
        <v>0</v>
      </c>
      <c r="AQ463" s="139">
        <v>0</v>
      </c>
      <c r="AR463" s="139">
        <v>0</v>
      </c>
      <c r="AS463" s="139">
        <v>0</v>
      </c>
      <c r="AT463" s="139">
        <v>0</v>
      </c>
      <c r="AU463" s="139">
        <v>0</v>
      </c>
      <c r="AV463" s="140"/>
    </row>
    <row r="464" spans="1:48" ht="15.75" customHeight="1" x14ac:dyDescent="0.2">
      <c r="A464" s="27"/>
      <c r="B464" s="136" t="s">
        <v>445</v>
      </c>
      <c r="C464" s="141">
        <v>0</v>
      </c>
      <c r="D464" s="138">
        <v>0</v>
      </c>
      <c r="E464" s="139">
        <v>0</v>
      </c>
      <c r="F464" s="139">
        <v>0</v>
      </c>
      <c r="G464" s="139">
        <v>0</v>
      </c>
      <c r="H464" s="139">
        <v>0</v>
      </c>
      <c r="I464" s="139">
        <v>0</v>
      </c>
      <c r="J464" s="139">
        <v>0</v>
      </c>
      <c r="K464" s="139">
        <v>0</v>
      </c>
      <c r="L464" s="139">
        <v>0</v>
      </c>
      <c r="M464" s="139">
        <v>0</v>
      </c>
      <c r="N464" s="139">
        <v>0</v>
      </c>
      <c r="O464" s="139">
        <v>0</v>
      </c>
      <c r="P464" s="139">
        <v>0</v>
      </c>
      <c r="Q464" s="139">
        <v>0</v>
      </c>
      <c r="R464" s="139">
        <v>0</v>
      </c>
      <c r="S464" s="139">
        <v>0</v>
      </c>
      <c r="T464" s="139">
        <v>0</v>
      </c>
      <c r="U464" s="139">
        <v>0</v>
      </c>
      <c r="V464" s="139">
        <v>0</v>
      </c>
      <c r="W464" s="139">
        <v>0</v>
      </c>
      <c r="X464" s="139">
        <v>0</v>
      </c>
      <c r="Y464" s="139">
        <v>0</v>
      </c>
      <c r="Z464" s="139">
        <v>0</v>
      </c>
      <c r="AA464" s="139">
        <v>0</v>
      </c>
      <c r="AB464" s="139">
        <v>0</v>
      </c>
      <c r="AC464" s="139">
        <v>0</v>
      </c>
      <c r="AD464" s="139">
        <v>0</v>
      </c>
      <c r="AE464" s="139">
        <v>0</v>
      </c>
      <c r="AF464" s="139">
        <v>0</v>
      </c>
      <c r="AG464" s="139">
        <v>0</v>
      </c>
      <c r="AH464" s="139">
        <v>0</v>
      </c>
      <c r="AI464" s="139">
        <v>0</v>
      </c>
      <c r="AJ464" s="139">
        <v>0</v>
      </c>
      <c r="AK464" s="139">
        <v>0</v>
      </c>
      <c r="AL464" s="139">
        <v>0</v>
      </c>
      <c r="AM464" s="139">
        <v>0</v>
      </c>
      <c r="AN464" s="139">
        <v>0</v>
      </c>
      <c r="AO464" s="139">
        <v>0</v>
      </c>
      <c r="AP464" s="139">
        <v>0</v>
      </c>
      <c r="AQ464" s="139">
        <v>0</v>
      </c>
      <c r="AR464" s="139">
        <v>0</v>
      </c>
      <c r="AS464" s="139">
        <v>0</v>
      </c>
      <c r="AT464" s="139">
        <v>0</v>
      </c>
      <c r="AU464" s="139">
        <v>0</v>
      </c>
      <c r="AV464" s="140"/>
    </row>
    <row r="465" spans="1:48" ht="15.75" customHeight="1" x14ac:dyDescent="0.2">
      <c r="A465" s="36" t="s">
        <v>1920</v>
      </c>
      <c r="B465" s="136"/>
      <c r="C465" s="141"/>
      <c r="D465" s="138"/>
      <c r="E465" s="139">
        <f>SUM(E32:E464)</f>
        <v>88512</v>
      </c>
      <c r="F465" s="139">
        <f t="shared" ref="F465:AU465" si="18">SUM(F32:F464)</f>
        <v>89292</v>
      </c>
      <c r="G465" s="139">
        <f t="shared" si="18"/>
        <v>90132</v>
      </c>
      <c r="H465" s="139">
        <f t="shared" si="18"/>
        <v>90492</v>
      </c>
      <c r="I465" s="139">
        <f t="shared" si="18"/>
        <v>90372</v>
      </c>
      <c r="J465" s="139">
        <f t="shared" si="18"/>
        <v>91031.88</v>
      </c>
      <c r="K465" s="139">
        <f t="shared" si="18"/>
        <v>99732</v>
      </c>
      <c r="L465" s="139">
        <f t="shared" si="18"/>
        <v>105972</v>
      </c>
      <c r="M465" s="139">
        <f t="shared" si="18"/>
        <v>106992</v>
      </c>
      <c r="N465" s="139">
        <f t="shared" si="18"/>
        <v>114096</v>
      </c>
      <c r="O465" s="139">
        <f t="shared" si="18"/>
        <v>129468</v>
      </c>
      <c r="P465" s="139">
        <f t="shared" si="18"/>
        <v>219568</v>
      </c>
      <c r="Q465" s="139">
        <f t="shared" si="18"/>
        <v>255003.51999999999</v>
      </c>
      <c r="R465" s="139">
        <f t="shared" si="18"/>
        <v>259791.52</v>
      </c>
      <c r="S465" s="139">
        <f t="shared" si="18"/>
        <v>372993.52</v>
      </c>
      <c r="T465" s="139">
        <f t="shared" si="18"/>
        <v>490245.52</v>
      </c>
      <c r="U465" s="139">
        <f t="shared" si="18"/>
        <v>534063.52</v>
      </c>
      <c r="V465" s="139">
        <f t="shared" si="18"/>
        <v>566488</v>
      </c>
      <c r="W465" s="139">
        <f t="shared" si="18"/>
        <v>1037272</v>
      </c>
      <c r="X465" s="139">
        <f t="shared" si="18"/>
        <v>1177192</v>
      </c>
      <c r="Y465" s="139">
        <f t="shared" si="18"/>
        <v>1248835</v>
      </c>
      <c r="Z465" s="139">
        <f t="shared" si="18"/>
        <v>1371129</v>
      </c>
      <c r="AA465" s="139">
        <f t="shared" si="18"/>
        <v>1426400</v>
      </c>
      <c r="AB465" s="139">
        <f t="shared" si="18"/>
        <v>1701215</v>
      </c>
      <c r="AC465" s="139">
        <f t="shared" si="18"/>
        <v>1823539</v>
      </c>
      <c r="AD465" s="139">
        <f t="shared" si="18"/>
        <v>1911601</v>
      </c>
      <c r="AE465" s="139">
        <f t="shared" si="18"/>
        <v>2524794</v>
      </c>
      <c r="AF465" s="139">
        <f t="shared" si="18"/>
        <v>2717789</v>
      </c>
      <c r="AG465" s="139">
        <f t="shared" si="18"/>
        <v>2967362</v>
      </c>
      <c r="AH465" s="139">
        <f t="shared" si="18"/>
        <v>3430368</v>
      </c>
      <c r="AI465" s="139">
        <f t="shared" si="18"/>
        <v>3215058</v>
      </c>
      <c r="AJ465" s="139">
        <f t="shared" si="18"/>
        <v>3532651</v>
      </c>
      <c r="AK465" s="139">
        <f t="shared" si="18"/>
        <v>4362649</v>
      </c>
      <c r="AL465" s="139">
        <f t="shared" si="18"/>
        <v>4558495</v>
      </c>
      <c r="AM465" s="139">
        <f t="shared" si="18"/>
        <v>5264670</v>
      </c>
      <c r="AN465" s="139">
        <f t="shared" si="18"/>
        <v>6098616</v>
      </c>
      <c r="AO465" s="139">
        <f t="shared" si="18"/>
        <v>6329297</v>
      </c>
      <c r="AP465" s="139">
        <f t="shared" si="18"/>
        <v>6789889</v>
      </c>
      <c r="AQ465" s="139">
        <f t="shared" si="18"/>
        <v>7543664</v>
      </c>
      <c r="AR465" s="139">
        <f t="shared" si="18"/>
        <v>8311746</v>
      </c>
      <c r="AS465" s="139">
        <f t="shared" si="18"/>
        <v>8647601</v>
      </c>
      <c r="AT465" s="139">
        <f t="shared" si="18"/>
        <v>9133481.0999999996</v>
      </c>
      <c r="AU465" s="139">
        <f t="shared" si="18"/>
        <v>9733014.3000000007</v>
      </c>
      <c r="AV465" s="140"/>
    </row>
    <row r="466" spans="1:48" ht="15.75" customHeight="1" x14ac:dyDescent="0.2">
      <c r="A466" s="27"/>
      <c r="B466" s="136"/>
      <c r="C466" s="141"/>
      <c r="D466" s="138"/>
      <c r="E466" s="139"/>
      <c r="F466" s="139"/>
      <c r="G466" s="139"/>
      <c r="H466" s="139"/>
      <c r="I466" s="139"/>
      <c r="J466" s="139"/>
      <c r="K466" s="139"/>
      <c r="L466" s="139"/>
      <c r="M466" s="139"/>
      <c r="N466" s="139"/>
      <c r="O466" s="139"/>
      <c r="P466" s="139"/>
      <c r="Q466" s="139"/>
      <c r="R466" s="139"/>
      <c r="S466" s="139"/>
      <c r="T466" s="139"/>
      <c r="U466" s="139"/>
      <c r="V466" s="139"/>
      <c r="W466" s="139"/>
      <c r="X466" s="139"/>
      <c r="Y466" s="139"/>
      <c r="Z466" s="139"/>
      <c r="AA466" s="139"/>
      <c r="AB466" s="139"/>
      <c r="AC466" s="139"/>
      <c r="AD466" s="139"/>
      <c r="AE466" s="139"/>
      <c r="AF466" s="139"/>
      <c r="AG466" s="139"/>
      <c r="AH466" s="139"/>
      <c r="AI466" s="139"/>
      <c r="AJ466" s="139"/>
      <c r="AK466" s="139"/>
      <c r="AL466" s="139"/>
      <c r="AM466" s="139"/>
      <c r="AN466" s="139"/>
      <c r="AO466" s="139"/>
      <c r="AP466" s="139"/>
      <c r="AQ466" s="139"/>
      <c r="AR466" s="139"/>
      <c r="AS466" s="139"/>
      <c r="AT466" s="139"/>
      <c r="AU466" s="139"/>
      <c r="AV466" s="140"/>
    </row>
    <row r="467" spans="1:48" ht="15.75" customHeight="1" x14ac:dyDescent="0.2">
      <c r="A467" s="27"/>
      <c r="B467" s="136"/>
      <c r="C467" s="141"/>
      <c r="D467" s="138"/>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c r="AA467" s="139"/>
      <c r="AB467" s="139"/>
      <c r="AC467" s="139"/>
      <c r="AD467" s="139"/>
      <c r="AE467" s="139"/>
      <c r="AF467" s="139"/>
      <c r="AG467" s="139"/>
      <c r="AH467" s="139"/>
      <c r="AI467" s="139"/>
      <c r="AJ467" s="139"/>
      <c r="AK467" s="139"/>
      <c r="AL467" s="139"/>
      <c r="AM467" s="139"/>
      <c r="AN467" s="139"/>
      <c r="AO467" s="139"/>
      <c r="AP467" s="139"/>
      <c r="AQ467" s="139"/>
      <c r="AR467" s="139"/>
      <c r="AS467" s="139"/>
      <c r="AT467" s="139"/>
      <c r="AU467" s="139"/>
      <c r="AV467" s="140"/>
    </row>
    <row r="468" spans="1:48" ht="15.75" customHeight="1" x14ac:dyDescent="0.2">
      <c r="A468" s="27"/>
      <c r="B468" s="136"/>
      <c r="C468" s="141"/>
      <c r="D468" s="138"/>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c r="AA468" s="139"/>
      <c r="AB468" s="139"/>
      <c r="AC468" s="139"/>
      <c r="AD468" s="139"/>
      <c r="AE468" s="139"/>
      <c r="AF468" s="139"/>
      <c r="AG468" s="139"/>
      <c r="AH468" s="139"/>
      <c r="AI468" s="139"/>
      <c r="AJ468" s="139"/>
      <c r="AK468" s="139"/>
      <c r="AL468" s="139"/>
      <c r="AM468" s="139"/>
      <c r="AN468" s="139"/>
      <c r="AO468" s="139"/>
      <c r="AP468" s="139"/>
      <c r="AQ468" s="139"/>
      <c r="AR468" s="139"/>
      <c r="AS468" s="139"/>
      <c r="AT468" s="139"/>
      <c r="AU468" s="139"/>
      <c r="AV468" s="140"/>
    </row>
    <row r="469" spans="1:48" ht="15.75" customHeight="1" x14ac:dyDescent="0.2">
      <c r="A469" s="27"/>
      <c r="B469" s="136"/>
      <c r="C469" s="141"/>
      <c r="D469" s="138"/>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c r="AA469" s="139"/>
      <c r="AB469" s="139"/>
      <c r="AC469" s="139"/>
      <c r="AD469" s="139"/>
      <c r="AE469" s="139"/>
      <c r="AF469" s="139"/>
      <c r="AG469" s="139"/>
      <c r="AH469" s="139"/>
      <c r="AI469" s="139"/>
      <c r="AJ469" s="139"/>
      <c r="AK469" s="139"/>
      <c r="AL469" s="139"/>
      <c r="AM469" s="139"/>
      <c r="AN469" s="139"/>
      <c r="AO469" s="139"/>
      <c r="AP469" s="139"/>
      <c r="AQ469" s="139"/>
      <c r="AR469" s="139"/>
      <c r="AS469" s="139"/>
      <c r="AT469" s="139"/>
      <c r="AU469" s="139"/>
      <c r="AV469" s="140"/>
    </row>
    <row r="470" spans="1:48" ht="15.75" customHeight="1" x14ac:dyDescent="0.2">
      <c r="A470" s="27"/>
      <c r="B470" s="136"/>
      <c r="C470" s="141"/>
      <c r="D470" s="138"/>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c r="AA470" s="139"/>
      <c r="AB470" s="139"/>
      <c r="AC470" s="139"/>
      <c r="AD470" s="139"/>
      <c r="AE470" s="139"/>
      <c r="AF470" s="139"/>
      <c r="AG470" s="139"/>
      <c r="AH470" s="139"/>
      <c r="AI470" s="139"/>
      <c r="AJ470" s="139"/>
      <c r="AK470" s="139"/>
      <c r="AL470" s="139"/>
      <c r="AM470" s="139"/>
      <c r="AN470" s="139"/>
      <c r="AO470" s="139"/>
      <c r="AP470" s="139"/>
      <c r="AQ470" s="139"/>
      <c r="AR470" s="139"/>
      <c r="AS470" s="139"/>
      <c r="AT470" s="139"/>
      <c r="AU470" s="139"/>
      <c r="AV470" s="140"/>
    </row>
    <row r="471" spans="1:48" ht="15.75" customHeight="1" x14ac:dyDescent="0.2">
      <c r="A471" s="27"/>
      <c r="B471" s="136"/>
      <c r="C471" s="141"/>
      <c r="D471" s="138"/>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c r="AA471" s="139"/>
      <c r="AB471" s="139"/>
      <c r="AC471" s="139"/>
      <c r="AD471" s="139"/>
      <c r="AE471" s="139"/>
      <c r="AF471" s="139"/>
      <c r="AG471" s="139"/>
      <c r="AH471" s="139"/>
      <c r="AI471" s="139"/>
      <c r="AJ471" s="139"/>
      <c r="AK471" s="139"/>
      <c r="AL471" s="139"/>
      <c r="AM471" s="139"/>
      <c r="AN471" s="139"/>
      <c r="AO471" s="139"/>
      <c r="AP471" s="139"/>
      <c r="AQ471" s="139"/>
      <c r="AR471" s="139"/>
      <c r="AS471" s="139"/>
      <c r="AT471" s="139"/>
      <c r="AU471" s="139"/>
      <c r="AV471" s="140"/>
    </row>
    <row r="472" spans="1:48" ht="15.75" customHeight="1" x14ac:dyDescent="0.2">
      <c r="A472" s="27"/>
      <c r="B472" s="136"/>
      <c r="C472" s="141"/>
      <c r="D472" s="138"/>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c r="AA472" s="139"/>
      <c r="AB472" s="139"/>
      <c r="AC472" s="139"/>
      <c r="AD472" s="139"/>
      <c r="AE472" s="139"/>
      <c r="AF472" s="139"/>
      <c r="AG472" s="139"/>
      <c r="AH472" s="139"/>
      <c r="AI472" s="139"/>
      <c r="AJ472" s="139"/>
      <c r="AK472" s="139"/>
      <c r="AL472" s="139"/>
      <c r="AM472" s="139"/>
      <c r="AN472" s="139"/>
      <c r="AO472" s="139"/>
      <c r="AP472" s="139"/>
      <c r="AQ472" s="139"/>
      <c r="AR472" s="139"/>
      <c r="AS472" s="139"/>
      <c r="AT472" s="139"/>
      <c r="AU472" s="139"/>
      <c r="AV472" s="140"/>
    </row>
    <row r="473" spans="1:48" ht="15.75" customHeight="1" x14ac:dyDescent="0.2">
      <c r="A473" s="27"/>
      <c r="B473" s="136"/>
      <c r="C473" s="141"/>
      <c r="D473" s="138"/>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c r="AA473" s="139"/>
      <c r="AB473" s="139"/>
      <c r="AC473" s="139"/>
      <c r="AD473" s="139"/>
      <c r="AE473" s="139"/>
      <c r="AF473" s="139"/>
      <c r="AG473" s="139"/>
      <c r="AH473" s="139"/>
      <c r="AI473" s="139"/>
      <c r="AJ473" s="139"/>
      <c r="AK473" s="139"/>
      <c r="AL473" s="139"/>
      <c r="AM473" s="139"/>
      <c r="AN473" s="139"/>
      <c r="AO473" s="139"/>
      <c r="AP473" s="139"/>
      <c r="AQ473" s="139"/>
      <c r="AR473" s="139"/>
      <c r="AS473" s="139"/>
      <c r="AT473" s="139"/>
      <c r="AU473" s="139"/>
      <c r="AV473" s="140"/>
    </row>
    <row r="474" spans="1:48" ht="15.75" customHeight="1" x14ac:dyDescent="0.2">
      <c r="A474" s="27"/>
      <c r="B474" s="136"/>
      <c r="C474" s="141"/>
      <c r="D474" s="138"/>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c r="AA474" s="139"/>
      <c r="AB474" s="139"/>
      <c r="AC474" s="139"/>
      <c r="AD474" s="139"/>
      <c r="AE474" s="139"/>
      <c r="AF474" s="139"/>
      <c r="AG474" s="139"/>
      <c r="AH474" s="139"/>
      <c r="AI474" s="139"/>
      <c r="AJ474" s="139"/>
      <c r="AK474" s="139"/>
      <c r="AL474" s="139"/>
      <c r="AM474" s="139"/>
      <c r="AN474" s="139"/>
      <c r="AO474" s="139"/>
      <c r="AP474" s="139"/>
      <c r="AQ474" s="139"/>
      <c r="AR474" s="139"/>
      <c r="AS474" s="139"/>
      <c r="AT474" s="139"/>
      <c r="AU474" s="139"/>
      <c r="AV474" s="140"/>
    </row>
    <row r="475" spans="1:48" ht="15.75" customHeight="1" x14ac:dyDescent="0.2">
      <c r="A475" s="27"/>
      <c r="B475" s="136"/>
      <c r="C475" s="141"/>
      <c r="D475" s="138"/>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c r="AA475" s="139"/>
      <c r="AB475" s="139"/>
      <c r="AC475" s="139"/>
      <c r="AD475" s="139"/>
      <c r="AE475" s="139"/>
      <c r="AF475" s="139"/>
      <c r="AG475" s="139"/>
      <c r="AH475" s="139"/>
      <c r="AI475" s="139"/>
      <c r="AJ475" s="139"/>
      <c r="AK475" s="139"/>
      <c r="AL475" s="139"/>
      <c r="AM475" s="139"/>
      <c r="AN475" s="139"/>
      <c r="AO475" s="139"/>
      <c r="AP475" s="139"/>
      <c r="AQ475" s="139"/>
      <c r="AR475" s="139"/>
      <c r="AS475" s="139"/>
      <c r="AT475" s="139"/>
      <c r="AU475" s="139"/>
      <c r="AV475" s="140"/>
    </row>
    <row r="476" spans="1:48" ht="15.75" customHeight="1" x14ac:dyDescent="0.2">
      <c r="A476" s="27"/>
      <c r="B476" s="136"/>
      <c r="C476" s="141"/>
      <c r="D476" s="138"/>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c r="AA476" s="139"/>
      <c r="AB476" s="139"/>
      <c r="AC476" s="139"/>
      <c r="AD476" s="139"/>
      <c r="AE476" s="139"/>
      <c r="AF476" s="139"/>
      <c r="AG476" s="139"/>
      <c r="AH476" s="139"/>
      <c r="AI476" s="139"/>
      <c r="AJ476" s="139"/>
      <c r="AK476" s="139"/>
      <c r="AL476" s="139"/>
      <c r="AM476" s="139"/>
      <c r="AN476" s="139"/>
      <c r="AO476" s="139"/>
      <c r="AP476" s="139"/>
      <c r="AQ476" s="139"/>
      <c r="AR476" s="139"/>
      <c r="AS476" s="139"/>
      <c r="AT476" s="139"/>
      <c r="AU476" s="139"/>
      <c r="AV476" s="140"/>
    </row>
    <row r="477" spans="1:48" ht="15.75" customHeight="1" x14ac:dyDescent="0.2">
      <c r="A477" s="27"/>
      <c r="B477" s="136"/>
      <c r="C477" s="141"/>
      <c r="D477" s="138"/>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c r="AA477" s="139"/>
      <c r="AB477" s="139"/>
      <c r="AC477" s="139"/>
      <c r="AD477" s="139"/>
      <c r="AE477" s="139"/>
      <c r="AF477" s="139"/>
      <c r="AG477" s="139"/>
      <c r="AH477" s="139"/>
      <c r="AI477" s="139"/>
      <c r="AJ477" s="139"/>
      <c r="AK477" s="139"/>
      <c r="AL477" s="139"/>
      <c r="AM477" s="139"/>
      <c r="AN477" s="139"/>
      <c r="AO477" s="139"/>
      <c r="AP477" s="139"/>
      <c r="AQ477" s="139"/>
      <c r="AR477" s="139"/>
      <c r="AS477" s="139"/>
      <c r="AT477" s="139"/>
      <c r="AU477" s="139"/>
      <c r="AV477" s="140"/>
    </row>
    <row r="478" spans="1:48" ht="15.75" customHeight="1" x14ac:dyDescent="0.2">
      <c r="A478" s="27"/>
      <c r="B478" s="136"/>
      <c r="C478" s="141"/>
      <c r="D478" s="138"/>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c r="AA478" s="139"/>
      <c r="AB478" s="139"/>
      <c r="AC478" s="139"/>
      <c r="AD478" s="139"/>
      <c r="AE478" s="139"/>
      <c r="AF478" s="139"/>
      <c r="AG478" s="139"/>
      <c r="AH478" s="139"/>
      <c r="AI478" s="139"/>
      <c r="AJ478" s="139"/>
      <c r="AK478" s="139"/>
      <c r="AL478" s="139"/>
      <c r="AM478" s="139"/>
      <c r="AN478" s="139"/>
      <c r="AO478" s="139"/>
      <c r="AP478" s="139"/>
      <c r="AQ478" s="139"/>
      <c r="AR478" s="139"/>
      <c r="AS478" s="139"/>
      <c r="AT478" s="139"/>
      <c r="AU478" s="139"/>
      <c r="AV478" s="140"/>
    </row>
    <row r="479" spans="1:48" ht="15.75" customHeight="1" x14ac:dyDescent="0.2">
      <c r="A479" s="27"/>
      <c r="B479" s="136"/>
      <c r="C479" s="141"/>
      <c r="D479" s="138"/>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c r="AA479" s="139"/>
      <c r="AB479" s="139"/>
      <c r="AC479" s="139"/>
      <c r="AD479" s="139"/>
      <c r="AE479" s="139"/>
      <c r="AF479" s="139"/>
      <c r="AG479" s="139"/>
      <c r="AH479" s="139"/>
      <c r="AI479" s="139"/>
      <c r="AJ479" s="139"/>
      <c r="AK479" s="139"/>
      <c r="AL479" s="139"/>
      <c r="AM479" s="139"/>
      <c r="AN479" s="139"/>
      <c r="AO479" s="139"/>
      <c r="AP479" s="139"/>
      <c r="AQ479" s="139"/>
      <c r="AR479" s="139"/>
      <c r="AS479" s="139"/>
      <c r="AT479" s="139"/>
      <c r="AU479" s="139"/>
      <c r="AV479" s="140"/>
    </row>
    <row r="480" spans="1:48" ht="15.75" customHeight="1" x14ac:dyDescent="0.2">
      <c r="A480" s="27"/>
      <c r="B480" s="136"/>
      <c r="C480" s="141"/>
      <c r="D480" s="138"/>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c r="AA480" s="139"/>
      <c r="AB480" s="139"/>
      <c r="AC480" s="139"/>
      <c r="AD480" s="139"/>
      <c r="AE480" s="139"/>
      <c r="AF480" s="139"/>
      <c r="AG480" s="139"/>
      <c r="AH480" s="139"/>
      <c r="AI480" s="139"/>
      <c r="AJ480" s="139"/>
      <c r="AK480" s="139"/>
      <c r="AL480" s="139"/>
      <c r="AM480" s="139"/>
      <c r="AN480" s="139"/>
      <c r="AO480" s="139"/>
      <c r="AP480" s="139"/>
      <c r="AQ480" s="139"/>
      <c r="AR480" s="139"/>
      <c r="AS480" s="139"/>
      <c r="AT480" s="139"/>
      <c r="AU480" s="139"/>
      <c r="AV480" s="140"/>
    </row>
    <row r="481" spans="1:48" ht="15.75" customHeight="1" x14ac:dyDescent="0.2">
      <c r="A481" s="27"/>
      <c r="B481" s="136"/>
      <c r="C481" s="141"/>
      <c r="D481" s="138"/>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c r="AA481" s="139"/>
      <c r="AB481" s="139"/>
      <c r="AC481" s="139"/>
      <c r="AD481" s="139"/>
      <c r="AE481" s="139"/>
      <c r="AF481" s="139"/>
      <c r="AG481" s="139"/>
      <c r="AH481" s="139"/>
      <c r="AI481" s="139"/>
      <c r="AJ481" s="139"/>
      <c r="AK481" s="139"/>
      <c r="AL481" s="139"/>
      <c r="AM481" s="139"/>
      <c r="AN481" s="139"/>
      <c r="AO481" s="139"/>
      <c r="AP481" s="139"/>
      <c r="AQ481" s="139"/>
      <c r="AR481" s="139"/>
      <c r="AS481" s="139"/>
      <c r="AT481" s="139"/>
      <c r="AU481" s="139"/>
      <c r="AV481" s="140"/>
    </row>
    <row r="482" spans="1:48" ht="15.75" customHeight="1" x14ac:dyDescent="0.2">
      <c r="A482" s="27"/>
      <c r="B482" s="136"/>
      <c r="C482" s="141"/>
      <c r="D482" s="138"/>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c r="AA482" s="139"/>
      <c r="AB482" s="139"/>
      <c r="AC482" s="139"/>
      <c r="AD482" s="139"/>
      <c r="AE482" s="139"/>
      <c r="AF482" s="139"/>
      <c r="AG482" s="139"/>
      <c r="AH482" s="139"/>
      <c r="AI482" s="139"/>
      <c r="AJ482" s="139"/>
      <c r="AK482" s="139"/>
      <c r="AL482" s="139"/>
      <c r="AM482" s="139"/>
      <c r="AN482" s="139"/>
      <c r="AO482" s="139"/>
      <c r="AP482" s="139"/>
      <c r="AQ482" s="139"/>
      <c r="AR482" s="139"/>
      <c r="AS482" s="139"/>
      <c r="AT482" s="139"/>
      <c r="AU482" s="139"/>
      <c r="AV482" s="140"/>
    </row>
    <row r="483" spans="1:48" ht="15.75" customHeight="1" x14ac:dyDescent="0.2">
      <c r="A483" s="27"/>
      <c r="B483" s="136"/>
      <c r="C483" s="141"/>
      <c r="D483" s="138"/>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c r="AA483" s="139"/>
      <c r="AB483" s="139"/>
      <c r="AC483" s="139"/>
      <c r="AD483" s="139"/>
      <c r="AE483" s="139"/>
      <c r="AF483" s="139"/>
      <c r="AG483" s="139"/>
      <c r="AH483" s="139"/>
      <c r="AI483" s="139"/>
      <c r="AJ483" s="139"/>
      <c r="AK483" s="139"/>
      <c r="AL483" s="139"/>
      <c r="AM483" s="139"/>
      <c r="AN483" s="139"/>
      <c r="AO483" s="139"/>
      <c r="AP483" s="139"/>
      <c r="AQ483" s="139"/>
      <c r="AR483" s="139"/>
      <c r="AS483" s="139"/>
      <c r="AT483" s="139"/>
      <c r="AU483" s="139"/>
      <c r="AV483" s="140"/>
    </row>
    <row r="484" spans="1:48" ht="15.75" customHeight="1" x14ac:dyDescent="0.2">
      <c r="A484" s="27"/>
      <c r="B484" s="136"/>
      <c r="C484" s="141"/>
      <c r="D484" s="138"/>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c r="AA484" s="139"/>
      <c r="AB484" s="139"/>
      <c r="AC484" s="139"/>
      <c r="AD484" s="139"/>
      <c r="AE484" s="139"/>
      <c r="AF484" s="139"/>
      <c r="AG484" s="139"/>
      <c r="AH484" s="139"/>
      <c r="AI484" s="139"/>
      <c r="AJ484" s="139"/>
      <c r="AK484" s="139"/>
      <c r="AL484" s="139"/>
      <c r="AM484" s="139"/>
      <c r="AN484" s="139"/>
      <c r="AO484" s="139"/>
      <c r="AP484" s="139"/>
      <c r="AQ484" s="139"/>
      <c r="AR484" s="139"/>
      <c r="AS484" s="139"/>
      <c r="AT484" s="139"/>
      <c r="AU484" s="139"/>
      <c r="AV484" s="140"/>
    </row>
    <row r="485" spans="1:48" ht="15.75" customHeight="1" x14ac:dyDescent="0.2">
      <c r="A485" s="27"/>
      <c r="B485" s="136"/>
      <c r="C485" s="141"/>
      <c r="D485" s="138"/>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c r="AA485" s="139"/>
      <c r="AB485" s="139"/>
      <c r="AC485" s="139"/>
      <c r="AD485" s="139"/>
      <c r="AE485" s="139"/>
      <c r="AF485" s="139"/>
      <c r="AG485" s="139"/>
      <c r="AH485" s="139"/>
      <c r="AI485" s="139"/>
      <c r="AJ485" s="139"/>
      <c r="AK485" s="139"/>
      <c r="AL485" s="139"/>
      <c r="AM485" s="139"/>
      <c r="AN485" s="139"/>
      <c r="AO485" s="139"/>
      <c r="AP485" s="139"/>
      <c r="AQ485" s="139"/>
      <c r="AR485" s="139"/>
      <c r="AS485" s="139"/>
      <c r="AT485" s="139"/>
      <c r="AU485" s="139"/>
      <c r="AV485" s="140"/>
    </row>
    <row r="486" spans="1:48" ht="15.75" customHeight="1" x14ac:dyDescent="0.2">
      <c r="A486" s="27"/>
      <c r="B486" s="136"/>
      <c r="C486" s="141"/>
      <c r="D486" s="138"/>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c r="AA486" s="139"/>
      <c r="AB486" s="139"/>
      <c r="AC486" s="139"/>
      <c r="AD486" s="139"/>
      <c r="AE486" s="139"/>
      <c r="AF486" s="139"/>
      <c r="AG486" s="139"/>
      <c r="AH486" s="139"/>
      <c r="AI486" s="139"/>
      <c r="AJ486" s="139"/>
      <c r="AK486" s="139"/>
      <c r="AL486" s="139"/>
      <c r="AM486" s="139"/>
      <c r="AN486" s="139"/>
      <c r="AO486" s="139"/>
      <c r="AP486" s="139"/>
      <c r="AQ486" s="139"/>
      <c r="AR486" s="139"/>
      <c r="AS486" s="139"/>
      <c r="AT486" s="139"/>
      <c r="AU486" s="139"/>
      <c r="AV486" s="140"/>
    </row>
    <row r="487" spans="1:48" ht="15.75" customHeight="1" x14ac:dyDescent="0.2">
      <c r="A487" s="27"/>
      <c r="B487" s="136"/>
      <c r="C487" s="141"/>
      <c r="D487" s="138"/>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c r="AA487" s="139"/>
      <c r="AB487" s="139"/>
      <c r="AC487" s="139"/>
      <c r="AD487" s="139"/>
      <c r="AE487" s="139"/>
      <c r="AF487" s="139"/>
      <c r="AG487" s="139"/>
      <c r="AH487" s="139"/>
      <c r="AI487" s="139"/>
      <c r="AJ487" s="139"/>
      <c r="AK487" s="139"/>
      <c r="AL487" s="139"/>
      <c r="AM487" s="139"/>
      <c r="AN487" s="139"/>
      <c r="AO487" s="139"/>
      <c r="AP487" s="139"/>
      <c r="AQ487" s="139"/>
      <c r="AR487" s="139"/>
      <c r="AS487" s="139"/>
      <c r="AT487" s="139"/>
      <c r="AU487" s="139"/>
      <c r="AV487" s="140"/>
    </row>
    <row r="488" spans="1:48" ht="15.75" customHeight="1" x14ac:dyDescent="0.2">
      <c r="A488" s="27"/>
      <c r="B488" s="136"/>
      <c r="C488" s="141"/>
      <c r="D488" s="138"/>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c r="AA488" s="139"/>
      <c r="AB488" s="139"/>
      <c r="AC488" s="139"/>
      <c r="AD488" s="139"/>
      <c r="AE488" s="139"/>
      <c r="AF488" s="139"/>
      <c r="AG488" s="139"/>
      <c r="AH488" s="139"/>
      <c r="AI488" s="139"/>
      <c r="AJ488" s="139"/>
      <c r="AK488" s="139"/>
      <c r="AL488" s="139"/>
      <c r="AM488" s="139"/>
      <c r="AN488" s="139"/>
      <c r="AO488" s="139"/>
      <c r="AP488" s="139"/>
      <c r="AQ488" s="139"/>
      <c r="AR488" s="139"/>
      <c r="AS488" s="139"/>
      <c r="AT488" s="139"/>
      <c r="AU488" s="139"/>
      <c r="AV488" s="140"/>
    </row>
    <row r="489" spans="1:48" ht="15.75" customHeight="1" x14ac:dyDescent="0.2">
      <c r="A489" s="27"/>
      <c r="B489" s="136"/>
      <c r="C489" s="141"/>
      <c r="D489" s="138"/>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c r="AA489" s="139"/>
      <c r="AB489" s="139"/>
      <c r="AC489" s="139"/>
      <c r="AD489" s="139"/>
      <c r="AE489" s="139"/>
      <c r="AF489" s="139"/>
      <c r="AG489" s="139"/>
      <c r="AH489" s="139"/>
      <c r="AI489" s="139"/>
      <c r="AJ489" s="139"/>
      <c r="AK489" s="139"/>
      <c r="AL489" s="139"/>
      <c r="AM489" s="139"/>
      <c r="AN489" s="139"/>
      <c r="AO489" s="139"/>
      <c r="AP489" s="139"/>
      <c r="AQ489" s="139"/>
      <c r="AR489" s="139"/>
      <c r="AS489" s="139"/>
      <c r="AT489" s="139"/>
      <c r="AU489" s="139"/>
      <c r="AV489" s="140"/>
    </row>
    <row r="490" spans="1:48" ht="15.75" customHeight="1" x14ac:dyDescent="0.2">
      <c r="A490" s="27"/>
      <c r="B490" s="136"/>
      <c r="C490" s="141"/>
      <c r="D490" s="138"/>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c r="AA490" s="139"/>
      <c r="AB490" s="139"/>
      <c r="AC490" s="139"/>
      <c r="AD490" s="139"/>
      <c r="AE490" s="139"/>
      <c r="AF490" s="139"/>
      <c r="AG490" s="139"/>
      <c r="AH490" s="139"/>
      <c r="AI490" s="139"/>
      <c r="AJ490" s="139"/>
      <c r="AK490" s="139"/>
      <c r="AL490" s="139"/>
      <c r="AM490" s="139"/>
      <c r="AN490" s="139"/>
      <c r="AO490" s="139"/>
      <c r="AP490" s="139"/>
      <c r="AQ490" s="139"/>
      <c r="AR490" s="139"/>
      <c r="AS490" s="139"/>
      <c r="AT490" s="139"/>
      <c r="AU490" s="139"/>
      <c r="AV490" s="140"/>
    </row>
    <row r="491" spans="1:48" ht="15.75" customHeight="1" x14ac:dyDescent="0.2">
      <c r="A491" s="27"/>
      <c r="B491" s="136"/>
      <c r="C491" s="141"/>
      <c r="D491" s="138"/>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c r="AA491" s="139"/>
      <c r="AB491" s="139"/>
      <c r="AC491" s="139"/>
      <c r="AD491" s="139"/>
      <c r="AE491" s="139"/>
      <c r="AF491" s="139"/>
      <c r="AG491" s="139"/>
      <c r="AH491" s="139"/>
      <c r="AI491" s="139"/>
      <c r="AJ491" s="139"/>
      <c r="AK491" s="139"/>
      <c r="AL491" s="139"/>
      <c r="AM491" s="139"/>
      <c r="AN491" s="139"/>
      <c r="AO491" s="139"/>
      <c r="AP491" s="139"/>
      <c r="AQ491" s="139"/>
      <c r="AR491" s="139"/>
      <c r="AS491" s="139"/>
      <c r="AT491" s="139"/>
      <c r="AU491" s="139"/>
      <c r="AV491" s="140"/>
    </row>
    <row r="492" spans="1:48" ht="15.75" customHeight="1" x14ac:dyDescent="0.2">
      <c r="A492" s="27"/>
      <c r="B492" s="136"/>
      <c r="C492" s="141"/>
      <c r="D492" s="138"/>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c r="AA492" s="139"/>
      <c r="AB492" s="139"/>
      <c r="AC492" s="139"/>
      <c r="AD492" s="139"/>
      <c r="AE492" s="139"/>
      <c r="AF492" s="139"/>
      <c r="AG492" s="139"/>
      <c r="AH492" s="139"/>
      <c r="AI492" s="139"/>
      <c r="AJ492" s="139"/>
      <c r="AK492" s="139"/>
      <c r="AL492" s="139"/>
      <c r="AM492" s="139"/>
      <c r="AN492" s="139"/>
      <c r="AO492" s="139"/>
      <c r="AP492" s="139"/>
      <c r="AQ492" s="139"/>
      <c r="AR492" s="139"/>
      <c r="AS492" s="139"/>
      <c r="AT492" s="139"/>
      <c r="AU492" s="139"/>
      <c r="AV492" s="140"/>
    </row>
    <row r="493" spans="1:48" ht="15.75" customHeight="1" x14ac:dyDescent="0.2">
      <c r="A493" s="27"/>
      <c r="B493" s="136"/>
      <c r="C493" s="141"/>
      <c r="D493" s="138"/>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c r="AA493" s="139"/>
      <c r="AB493" s="139"/>
      <c r="AC493" s="139"/>
      <c r="AD493" s="139"/>
      <c r="AE493" s="139"/>
      <c r="AF493" s="139"/>
      <c r="AG493" s="139"/>
      <c r="AH493" s="139"/>
      <c r="AI493" s="139"/>
      <c r="AJ493" s="139"/>
      <c r="AK493" s="139"/>
      <c r="AL493" s="139"/>
      <c r="AM493" s="139"/>
      <c r="AN493" s="139"/>
      <c r="AO493" s="139"/>
      <c r="AP493" s="139"/>
      <c r="AQ493" s="139"/>
      <c r="AR493" s="139"/>
      <c r="AS493" s="139"/>
      <c r="AT493" s="139"/>
      <c r="AU493" s="139"/>
      <c r="AV493" s="140"/>
    </row>
    <row r="494" spans="1:48" ht="15.75" customHeight="1" x14ac:dyDescent="0.2">
      <c r="A494" s="27"/>
      <c r="B494" s="136"/>
      <c r="C494" s="141"/>
      <c r="D494" s="138"/>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c r="AA494" s="139"/>
      <c r="AB494" s="139"/>
      <c r="AC494" s="139"/>
      <c r="AD494" s="139"/>
      <c r="AE494" s="139"/>
      <c r="AF494" s="139"/>
      <c r="AG494" s="139"/>
      <c r="AH494" s="139"/>
      <c r="AI494" s="139"/>
      <c r="AJ494" s="139"/>
      <c r="AK494" s="139"/>
      <c r="AL494" s="139"/>
      <c r="AM494" s="139"/>
      <c r="AN494" s="139"/>
      <c r="AO494" s="139"/>
      <c r="AP494" s="139"/>
      <c r="AQ494" s="139"/>
      <c r="AR494" s="139"/>
      <c r="AS494" s="139"/>
      <c r="AT494" s="139"/>
      <c r="AU494" s="139"/>
      <c r="AV494" s="140"/>
    </row>
    <row r="495" spans="1:48" ht="15.75" customHeight="1" x14ac:dyDescent="0.2">
      <c r="A495" s="27"/>
      <c r="B495" s="136"/>
      <c r="C495" s="141"/>
      <c r="D495" s="138"/>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c r="AA495" s="139"/>
      <c r="AB495" s="139"/>
      <c r="AC495" s="139"/>
      <c r="AD495" s="139"/>
      <c r="AE495" s="139"/>
      <c r="AF495" s="139"/>
      <c r="AG495" s="139"/>
      <c r="AH495" s="139"/>
      <c r="AI495" s="139"/>
      <c r="AJ495" s="139"/>
      <c r="AK495" s="139"/>
      <c r="AL495" s="139"/>
      <c r="AM495" s="139"/>
      <c r="AN495" s="139"/>
      <c r="AO495" s="139"/>
      <c r="AP495" s="139"/>
      <c r="AQ495" s="139"/>
      <c r="AR495" s="139"/>
      <c r="AS495" s="139"/>
      <c r="AT495" s="139"/>
      <c r="AU495" s="139"/>
      <c r="AV495" s="140"/>
    </row>
    <row r="496" spans="1:48" ht="15.75" customHeight="1" x14ac:dyDescent="0.2">
      <c r="A496" s="27"/>
      <c r="B496" s="136"/>
      <c r="C496" s="141"/>
      <c r="D496" s="138"/>
      <c r="E496" s="139"/>
      <c r="F496" s="139"/>
      <c r="G496" s="139"/>
      <c r="H496" s="139"/>
      <c r="I496" s="139"/>
      <c r="J496" s="139"/>
      <c r="K496" s="139"/>
      <c r="L496" s="139"/>
      <c r="M496" s="139"/>
      <c r="N496" s="139"/>
      <c r="O496" s="139"/>
      <c r="P496" s="139"/>
      <c r="Q496" s="139"/>
      <c r="R496" s="139"/>
      <c r="S496" s="139"/>
      <c r="T496" s="139"/>
      <c r="U496" s="139"/>
      <c r="V496" s="139"/>
      <c r="W496" s="139"/>
      <c r="X496" s="139"/>
      <c r="Y496" s="139"/>
      <c r="Z496" s="139"/>
      <c r="AA496" s="139"/>
      <c r="AB496" s="139"/>
      <c r="AC496" s="139"/>
      <c r="AD496" s="139"/>
      <c r="AE496" s="139"/>
      <c r="AF496" s="139"/>
      <c r="AG496" s="139"/>
      <c r="AH496" s="139"/>
      <c r="AI496" s="139"/>
      <c r="AJ496" s="139"/>
      <c r="AK496" s="139"/>
      <c r="AL496" s="139"/>
      <c r="AM496" s="139"/>
      <c r="AN496" s="139"/>
      <c r="AO496" s="139"/>
      <c r="AP496" s="139"/>
      <c r="AQ496" s="139"/>
      <c r="AR496" s="139"/>
      <c r="AS496" s="139"/>
      <c r="AT496" s="139"/>
      <c r="AU496" s="139"/>
      <c r="AV496" s="140"/>
    </row>
    <row r="497" spans="1:48" ht="15.75" customHeight="1" x14ac:dyDescent="0.2">
      <c r="A497" s="27"/>
      <c r="B497" s="136"/>
      <c r="C497" s="141"/>
      <c r="D497" s="138"/>
      <c r="E497" s="139"/>
      <c r="F497" s="139"/>
      <c r="G497" s="139"/>
      <c r="H497" s="139"/>
      <c r="I497" s="139"/>
      <c r="J497" s="139"/>
      <c r="K497" s="139"/>
      <c r="L497" s="139"/>
      <c r="M497" s="139"/>
      <c r="N497" s="139"/>
      <c r="O497" s="139"/>
      <c r="P497" s="139"/>
      <c r="Q497" s="139"/>
      <c r="R497" s="139"/>
      <c r="S497" s="139"/>
      <c r="T497" s="139"/>
      <c r="U497" s="139"/>
      <c r="V497" s="139"/>
      <c r="W497" s="139"/>
      <c r="X497" s="139"/>
      <c r="Y497" s="139"/>
      <c r="Z497" s="139"/>
      <c r="AA497" s="139"/>
      <c r="AB497" s="139"/>
      <c r="AC497" s="139"/>
      <c r="AD497" s="139"/>
      <c r="AE497" s="139"/>
      <c r="AF497" s="139"/>
      <c r="AG497" s="139"/>
      <c r="AH497" s="139"/>
      <c r="AI497" s="139"/>
      <c r="AJ497" s="139"/>
      <c r="AK497" s="139"/>
      <c r="AL497" s="139"/>
      <c r="AM497" s="139"/>
      <c r="AN497" s="139"/>
      <c r="AO497" s="139"/>
      <c r="AP497" s="139"/>
      <c r="AQ497" s="139"/>
      <c r="AR497" s="139"/>
      <c r="AS497" s="139"/>
      <c r="AT497" s="139"/>
      <c r="AU497" s="139"/>
      <c r="AV497" s="140"/>
    </row>
    <row r="498" spans="1:48" ht="15.75" customHeight="1" x14ac:dyDescent="0.2">
      <c r="A498" s="27"/>
      <c r="B498" s="136"/>
      <c r="C498" s="141"/>
      <c r="D498" s="138"/>
      <c r="E498" s="139"/>
      <c r="F498" s="139"/>
      <c r="G498" s="139"/>
      <c r="H498" s="139"/>
      <c r="I498" s="139"/>
      <c r="J498" s="139"/>
      <c r="K498" s="139"/>
      <c r="L498" s="139"/>
      <c r="M498" s="139"/>
      <c r="N498" s="139"/>
      <c r="O498" s="139"/>
      <c r="P498" s="139"/>
      <c r="Q498" s="139"/>
      <c r="R498" s="139"/>
      <c r="S498" s="139"/>
      <c r="T498" s="139"/>
      <c r="U498" s="139"/>
      <c r="V498" s="139"/>
      <c r="W498" s="139"/>
      <c r="X498" s="139"/>
      <c r="Y498" s="139"/>
      <c r="Z498" s="139"/>
      <c r="AA498" s="139"/>
      <c r="AB498" s="139"/>
      <c r="AC498" s="139"/>
      <c r="AD498" s="139"/>
      <c r="AE498" s="139"/>
      <c r="AF498" s="139"/>
      <c r="AG498" s="139"/>
      <c r="AH498" s="139"/>
      <c r="AI498" s="139"/>
      <c r="AJ498" s="139"/>
      <c r="AK498" s="139"/>
      <c r="AL498" s="139"/>
      <c r="AM498" s="139"/>
      <c r="AN498" s="139"/>
      <c r="AO498" s="139"/>
      <c r="AP498" s="139"/>
      <c r="AQ498" s="139"/>
      <c r="AR498" s="139"/>
      <c r="AS498" s="139"/>
      <c r="AT498" s="139"/>
      <c r="AU498" s="139"/>
      <c r="AV498" s="140"/>
    </row>
    <row r="499" spans="1:48" ht="15.75" customHeight="1" x14ac:dyDescent="0.2">
      <c r="A499" s="27"/>
      <c r="B499" s="136"/>
      <c r="C499" s="141"/>
      <c r="D499" s="138"/>
      <c r="E499" s="139"/>
      <c r="F499" s="139"/>
      <c r="G499" s="139"/>
      <c r="H499" s="139"/>
      <c r="I499" s="139"/>
      <c r="J499" s="139"/>
      <c r="K499" s="139"/>
      <c r="L499" s="139"/>
      <c r="M499" s="139"/>
      <c r="N499" s="139"/>
      <c r="O499" s="139"/>
      <c r="P499" s="139"/>
      <c r="Q499" s="139"/>
      <c r="R499" s="139"/>
      <c r="S499" s="139"/>
      <c r="T499" s="139"/>
      <c r="U499" s="139"/>
      <c r="V499" s="139"/>
      <c r="W499" s="139"/>
      <c r="X499" s="139"/>
      <c r="Y499" s="139"/>
      <c r="Z499" s="139"/>
      <c r="AA499" s="139"/>
      <c r="AB499" s="139"/>
      <c r="AC499" s="139"/>
      <c r="AD499" s="139"/>
      <c r="AE499" s="139"/>
      <c r="AF499" s="139"/>
      <c r="AG499" s="139"/>
      <c r="AH499" s="139"/>
      <c r="AI499" s="139"/>
      <c r="AJ499" s="139"/>
      <c r="AK499" s="139"/>
      <c r="AL499" s="139"/>
      <c r="AM499" s="139"/>
      <c r="AN499" s="139"/>
      <c r="AO499" s="139"/>
      <c r="AP499" s="139"/>
      <c r="AQ499" s="139"/>
      <c r="AR499" s="139"/>
      <c r="AS499" s="139"/>
      <c r="AT499" s="139"/>
      <c r="AU499" s="139"/>
      <c r="AV499" s="140"/>
    </row>
    <row r="500" spans="1:48" ht="15.75" customHeight="1" x14ac:dyDescent="0.2">
      <c r="A500" s="27"/>
      <c r="B500" s="136"/>
      <c r="C500" s="141"/>
      <c r="D500" s="138"/>
      <c r="E500" s="139"/>
      <c r="F500" s="139"/>
      <c r="G500" s="139"/>
      <c r="H500" s="139"/>
      <c r="I500" s="139"/>
      <c r="J500" s="139"/>
      <c r="K500" s="139"/>
      <c r="L500" s="139"/>
      <c r="M500" s="139"/>
      <c r="N500" s="139"/>
      <c r="O500" s="139"/>
      <c r="P500" s="139"/>
      <c r="Q500" s="139"/>
      <c r="R500" s="139"/>
      <c r="S500" s="139"/>
      <c r="T500" s="139"/>
      <c r="U500" s="139"/>
      <c r="V500" s="139"/>
      <c r="W500" s="139"/>
      <c r="X500" s="139"/>
      <c r="Y500" s="139"/>
      <c r="Z500" s="139"/>
      <c r="AA500" s="139"/>
      <c r="AB500" s="139"/>
      <c r="AC500" s="139"/>
      <c r="AD500" s="139"/>
      <c r="AE500" s="139"/>
      <c r="AF500" s="139"/>
      <c r="AG500" s="139"/>
      <c r="AH500" s="139"/>
      <c r="AI500" s="139"/>
      <c r="AJ500" s="139"/>
      <c r="AK500" s="139"/>
      <c r="AL500" s="139"/>
      <c r="AM500" s="139"/>
      <c r="AN500" s="139"/>
      <c r="AO500" s="139"/>
      <c r="AP500" s="139"/>
      <c r="AQ500" s="139"/>
      <c r="AR500" s="139"/>
      <c r="AS500" s="139"/>
      <c r="AT500" s="139"/>
      <c r="AU500" s="139"/>
      <c r="AV500" s="140"/>
    </row>
    <row r="501" spans="1:48" ht="15.75" customHeight="1" x14ac:dyDescent="0.2">
      <c r="A501" s="27"/>
      <c r="B501" s="136"/>
      <c r="C501" s="141"/>
      <c r="D501" s="138"/>
      <c r="E501" s="139"/>
      <c r="F501" s="139"/>
      <c r="G501" s="139"/>
      <c r="H501" s="139"/>
      <c r="I501" s="139"/>
      <c r="J501" s="139"/>
      <c r="K501" s="139"/>
      <c r="L501" s="139"/>
      <c r="M501" s="139"/>
      <c r="N501" s="139"/>
      <c r="O501" s="139"/>
      <c r="P501" s="139"/>
      <c r="Q501" s="139"/>
      <c r="R501" s="139"/>
      <c r="S501" s="139"/>
      <c r="T501" s="139"/>
      <c r="U501" s="139"/>
      <c r="V501" s="139"/>
      <c r="W501" s="139"/>
      <c r="X501" s="139"/>
      <c r="Y501" s="139"/>
      <c r="Z501" s="139"/>
      <c r="AA501" s="139"/>
      <c r="AB501" s="139"/>
      <c r="AC501" s="139"/>
      <c r="AD501" s="139"/>
      <c r="AE501" s="139"/>
      <c r="AF501" s="139"/>
      <c r="AG501" s="139"/>
      <c r="AH501" s="139"/>
      <c r="AI501" s="139"/>
      <c r="AJ501" s="139"/>
      <c r="AK501" s="139"/>
      <c r="AL501" s="139"/>
      <c r="AM501" s="139"/>
      <c r="AN501" s="139"/>
      <c r="AO501" s="139"/>
      <c r="AP501" s="139"/>
      <c r="AQ501" s="139"/>
      <c r="AR501" s="139"/>
      <c r="AS501" s="139"/>
      <c r="AT501" s="139"/>
      <c r="AU501" s="139"/>
      <c r="AV501" s="140"/>
    </row>
    <row r="502" spans="1:48" ht="15.75" customHeight="1" x14ac:dyDescent="0.2">
      <c r="A502" s="27"/>
      <c r="B502" s="136"/>
      <c r="C502" s="141"/>
      <c r="D502" s="138"/>
      <c r="E502" s="139"/>
      <c r="F502" s="139"/>
      <c r="G502" s="139"/>
      <c r="H502" s="139"/>
      <c r="I502" s="139"/>
      <c r="J502" s="139"/>
      <c r="K502" s="139"/>
      <c r="L502" s="139"/>
      <c r="M502" s="139"/>
      <c r="N502" s="139"/>
      <c r="O502" s="139"/>
      <c r="P502" s="139"/>
      <c r="Q502" s="139"/>
      <c r="R502" s="139"/>
      <c r="S502" s="139"/>
      <c r="T502" s="139"/>
      <c r="U502" s="139"/>
      <c r="V502" s="139"/>
      <c r="W502" s="139"/>
      <c r="X502" s="139"/>
      <c r="Y502" s="139"/>
      <c r="Z502" s="139"/>
      <c r="AA502" s="139"/>
      <c r="AB502" s="139"/>
      <c r="AC502" s="139"/>
      <c r="AD502" s="139"/>
      <c r="AE502" s="139"/>
      <c r="AF502" s="139"/>
      <c r="AG502" s="139"/>
      <c r="AH502" s="139"/>
      <c r="AI502" s="139"/>
      <c r="AJ502" s="139"/>
      <c r="AK502" s="139"/>
      <c r="AL502" s="139"/>
      <c r="AM502" s="139"/>
      <c r="AN502" s="139"/>
      <c r="AO502" s="139"/>
      <c r="AP502" s="139"/>
      <c r="AQ502" s="139"/>
      <c r="AR502" s="139"/>
      <c r="AS502" s="139"/>
      <c r="AT502" s="139"/>
      <c r="AU502" s="139"/>
      <c r="AV502" s="140"/>
    </row>
    <row r="503" spans="1:48" ht="15.75" customHeight="1" x14ac:dyDescent="0.2">
      <c r="A503" s="27"/>
      <c r="B503" s="136"/>
      <c r="C503" s="141"/>
      <c r="D503" s="138"/>
      <c r="E503" s="139"/>
      <c r="F503" s="139"/>
      <c r="G503" s="139"/>
      <c r="H503" s="139"/>
      <c r="I503" s="139"/>
      <c r="J503" s="139"/>
      <c r="K503" s="139"/>
      <c r="L503" s="139"/>
      <c r="M503" s="139"/>
      <c r="N503" s="139"/>
      <c r="O503" s="139"/>
      <c r="P503" s="139"/>
      <c r="Q503" s="139"/>
      <c r="R503" s="139"/>
      <c r="S503" s="139"/>
      <c r="T503" s="139"/>
      <c r="U503" s="139"/>
      <c r="V503" s="139"/>
      <c r="W503" s="139"/>
      <c r="X503" s="139"/>
      <c r="Y503" s="139"/>
      <c r="Z503" s="139"/>
      <c r="AA503" s="139"/>
      <c r="AB503" s="139"/>
      <c r="AC503" s="139"/>
      <c r="AD503" s="139"/>
      <c r="AE503" s="139"/>
      <c r="AF503" s="139"/>
      <c r="AG503" s="139"/>
      <c r="AH503" s="139"/>
      <c r="AI503" s="139"/>
      <c r="AJ503" s="139"/>
      <c r="AK503" s="139"/>
      <c r="AL503" s="139"/>
      <c r="AM503" s="139"/>
      <c r="AN503" s="139"/>
      <c r="AO503" s="139"/>
      <c r="AP503" s="139"/>
      <c r="AQ503" s="139"/>
      <c r="AR503" s="139"/>
      <c r="AS503" s="139"/>
      <c r="AT503" s="139"/>
      <c r="AU503" s="139"/>
      <c r="AV503" s="140"/>
    </row>
    <row r="504" spans="1:48" ht="15.75" customHeight="1" x14ac:dyDescent="0.2">
      <c r="A504" s="27"/>
      <c r="B504" s="136"/>
      <c r="C504" s="141"/>
      <c r="D504" s="138"/>
      <c r="E504" s="139"/>
      <c r="F504" s="139"/>
      <c r="G504" s="139"/>
      <c r="H504" s="139"/>
      <c r="I504" s="139"/>
      <c r="J504" s="139"/>
      <c r="K504" s="139"/>
      <c r="L504" s="139"/>
      <c r="M504" s="139"/>
      <c r="N504" s="139"/>
      <c r="O504" s="139"/>
      <c r="P504" s="139"/>
      <c r="Q504" s="139"/>
      <c r="R504" s="139"/>
      <c r="S504" s="139"/>
      <c r="T504" s="139"/>
      <c r="U504" s="139"/>
      <c r="V504" s="139"/>
      <c r="W504" s="139"/>
      <c r="X504" s="139"/>
      <c r="Y504" s="139"/>
      <c r="Z504" s="139"/>
      <c r="AA504" s="139"/>
      <c r="AB504" s="139"/>
      <c r="AC504" s="139"/>
      <c r="AD504" s="139"/>
      <c r="AE504" s="139"/>
      <c r="AF504" s="139"/>
      <c r="AG504" s="139"/>
      <c r="AH504" s="139"/>
      <c r="AI504" s="139"/>
      <c r="AJ504" s="139"/>
      <c r="AK504" s="139"/>
      <c r="AL504" s="139"/>
      <c r="AM504" s="139"/>
      <c r="AN504" s="139"/>
      <c r="AO504" s="139"/>
      <c r="AP504" s="139"/>
      <c r="AQ504" s="139"/>
      <c r="AR504" s="139"/>
      <c r="AS504" s="139"/>
      <c r="AT504" s="139"/>
      <c r="AU504" s="139"/>
      <c r="AV504" s="140"/>
    </row>
    <row r="505" spans="1:48" ht="15.75" customHeight="1" x14ac:dyDescent="0.2">
      <c r="A505" s="27"/>
      <c r="B505" s="136"/>
      <c r="C505" s="141"/>
      <c r="D505" s="138"/>
      <c r="E505" s="139"/>
      <c r="F505" s="139"/>
      <c r="G505" s="139"/>
      <c r="H505" s="139"/>
      <c r="I505" s="139"/>
      <c r="J505" s="139"/>
      <c r="K505" s="139"/>
      <c r="L505" s="139"/>
      <c r="M505" s="139"/>
      <c r="N505" s="139"/>
      <c r="O505" s="139"/>
      <c r="P505" s="139"/>
      <c r="Q505" s="139"/>
      <c r="R505" s="139"/>
      <c r="S505" s="139"/>
      <c r="T505" s="139"/>
      <c r="U505" s="139"/>
      <c r="V505" s="139"/>
      <c r="W505" s="139"/>
      <c r="X505" s="139"/>
      <c r="Y505" s="139"/>
      <c r="Z505" s="139"/>
      <c r="AA505" s="139"/>
      <c r="AB505" s="139"/>
      <c r="AC505" s="139"/>
      <c r="AD505" s="139"/>
      <c r="AE505" s="139"/>
      <c r="AF505" s="139"/>
      <c r="AG505" s="139"/>
      <c r="AH505" s="139"/>
      <c r="AI505" s="139"/>
      <c r="AJ505" s="139"/>
      <c r="AK505" s="139"/>
      <c r="AL505" s="139"/>
      <c r="AM505" s="139"/>
      <c r="AN505" s="139"/>
      <c r="AO505" s="139"/>
      <c r="AP505" s="139"/>
      <c r="AQ505" s="139"/>
      <c r="AR505" s="139"/>
      <c r="AS505" s="139"/>
      <c r="AT505" s="139"/>
      <c r="AU505" s="139"/>
      <c r="AV505" s="140"/>
    </row>
    <row r="506" spans="1:48" ht="15.75" customHeight="1" x14ac:dyDescent="0.2">
      <c r="A506" s="27"/>
      <c r="B506" s="136"/>
      <c r="C506" s="141"/>
      <c r="D506" s="138"/>
      <c r="E506" s="139"/>
      <c r="F506" s="139"/>
      <c r="G506" s="139"/>
      <c r="H506" s="139"/>
      <c r="I506" s="139"/>
      <c r="J506" s="139"/>
      <c r="K506" s="139"/>
      <c r="L506" s="139"/>
      <c r="M506" s="139"/>
      <c r="N506" s="139"/>
      <c r="O506" s="139"/>
      <c r="P506" s="139"/>
      <c r="Q506" s="139"/>
      <c r="R506" s="139"/>
      <c r="S506" s="139"/>
      <c r="T506" s="139"/>
      <c r="U506" s="139"/>
      <c r="V506" s="139"/>
      <c r="W506" s="139"/>
      <c r="X506" s="139"/>
      <c r="Y506" s="139"/>
      <c r="Z506" s="139"/>
      <c r="AA506" s="139"/>
      <c r="AB506" s="139"/>
      <c r="AC506" s="139"/>
      <c r="AD506" s="139"/>
      <c r="AE506" s="139"/>
      <c r="AF506" s="139"/>
      <c r="AG506" s="139"/>
      <c r="AH506" s="139"/>
      <c r="AI506" s="139"/>
      <c r="AJ506" s="139"/>
      <c r="AK506" s="139"/>
      <c r="AL506" s="139"/>
      <c r="AM506" s="139"/>
      <c r="AN506" s="139"/>
      <c r="AO506" s="139"/>
      <c r="AP506" s="139"/>
      <c r="AQ506" s="139"/>
      <c r="AR506" s="139"/>
      <c r="AS506" s="139"/>
      <c r="AT506" s="139"/>
      <c r="AU506" s="139"/>
      <c r="AV506" s="140"/>
    </row>
    <row r="507" spans="1:48" ht="15.75" customHeight="1" x14ac:dyDescent="0.2">
      <c r="A507" s="27"/>
      <c r="B507" s="136"/>
      <c r="C507" s="141"/>
      <c r="D507" s="138"/>
      <c r="E507" s="139"/>
      <c r="F507" s="139"/>
      <c r="G507" s="139"/>
      <c r="H507" s="139"/>
      <c r="I507" s="139"/>
      <c r="J507" s="139"/>
      <c r="K507" s="139"/>
      <c r="L507" s="139"/>
      <c r="M507" s="139"/>
      <c r="N507" s="139"/>
      <c r="O507" s="139"/>
      <c r="P507" s="139"/>
      <c r="Q507" s="139"/>
      <c r="R507" s="139"/>
      <c r="S507" s="139"/>
      <c r="T507" s="139"/>
      <c r="U507" s="139"/>
      <c r="V507" s="139"/>
      <c r="W507" s="139"/>
      <c r="X507" s="139"/>
      <c r="Y507" s="139"/>
      <c r="Z507" s="139"/>
      <c r="AA507" s="139"/>
      <c r="AB507" s="139"/>
      <c r="AC507" s="139"/>
      <c r="AD507" s="139"/>
      <c r="AE507" s="139"/>
      <c r="AF507" s="139"/>
      <c r="AG507" s="139"/>
      <c r="AH507" s="139"/>
      <c r="AI507" s="139"/>
      <c r="AJ507" s="139"/>
      <c r="AK507" s="139"/>
      <c r="AL507" s="139"/>
      <c r="AM507" s="139"/>
      <c r="AN507" s="139"/>
      <c r="AO507" s="139"/>
      <c r="AP507" s="139"/>
      <c r="AQ507" s="139"/>
      <c r="AR507" s="139"/>
      <c r="AS507" s="139"/>
      <c r="AT507" s="139"/>
      <c r="AU507" s="139"/>
      <c r="AV507" s="140"/>
    </row>
    <row r="508" spans="1:48" ht="15.75" customHeight="1" x14ac:dyDescent="0.2">
      <c r="A508" s="27"/>
      <c r="B508" s="136"/>
      <c r="C508" s="141"/>
      <c r="D508" s="138"/>
      <c r="E508" s="139"/>
      <c r="F508" s="139"/>
      <c r="G508" s="139"/>
      <c r="H508" s="139"/>
      <c r="I508" s="139"/>
      <c r="J508" s="139"/>
      <c r="K508" s="139"/>
      <c r="L508" s="139"/>
      <c r="M508" s="139"/>
      <c r="N508" s="139"/>
      <c r="O508" s="139"/>
      <c r="P508" s="139"/>
      <c r="Q508" s="139"/>
      <c r="R508" s="139"/>
      <c r="S508" s="139"/>
      <c r="T508" s="139"/>
      <c r="U508" s="139"/>
      <c r="V508" s="139"/>
      <c r="W508" s="139"/>
      <c r="X508" s="139"/>
      <c r="Y508" s="139"/>
      <c r="Z508" s="139"/>
      <c r="AA508" s="139"/>
      <c r="AB508" s="139"/>
      <c r="AC508" s="139"/>
      <c r="AD508" s="139"/>
      <c r="AE508" s="139"/>
      <c r="AF508" s="139"/>
      <c r="AG508" s="139"/>
      <c r="AH508" s="139"/>
      <c r="AI508" s="139"/>
      <c r="AJ508" s="139"/>
      <c r="AK508" s="139"/>
      <c r="AL508" s="139"/>
      <c r="AM508" s="139"/>
      <c r="AN508" s="139"/>
      <c r="AO508" s="139"/>
      <c r="AP508" s="139"/>
      <c r="AQ508" s="139"/>
      <c r="AR508" s="139"/>
      <c r="AS508" s="139"/>
      <c r="AT508" s="139"/>
      <c r="AU508" s="139"/>
      <c r="AV508" s="140"/>
    </row>
    <row r="509" spans="1:48" ht="15.75" customHeight="1" x14ac:dyDescent="0.2">
      <c r="A509" s="27"/>
      <c r="B509" s="136"/>
      <c r="C509" s="141"/>
      <c r="D509" s="138"/>
      <c r="E509" s="139"/>
      <c r="F509" s="139"/>
      <c r="G509" s="139"/>
      <c r="H509" s="139"/>
      <c r="I509" s="139"/>
      <c r="J509" s="139"/>
      <c r="K509" s="139"/>
      <c r="L509" s="139"/>
      <c r="M509" s="139"/>
      <c r="N509" s="139"/>
      <c r="O509" s="139"/>
      <c r="P509" s="139"/>
      <c r="Q509" s="139"/>
      <c r="R509" s="139"/>
      <c r="S509" s="139"/>
      <c r="T509" s="139"/>
      <c r="U509" s="139"/>
      <c r="V509" s="139"/>
      <c r="W509" s="139"/>
      <c r="X509" s="139"/>
      <c r="Y509" s="139"/>
      <c r="Z509" s="139"/>
      <c r="AA509" s="139"/>
      <c r="AB509" s="139"/>
      <c r="AC509" s="139"/>
      <c r="AD509" s="139"/>
      <c r="AE509" s="139"/>
      <c r="AF509" s="139"/>
      <c r="AG509" s="139"/>
      <c r="AH509" s="139"/>
      <c r="AI509" s="139"/>
      <c r="AJ509" s="139"/>
      <c r="AK509" s="139"/>
      <c r="AL509" s="139"/>
      <c r="AM509" s="139"/>
      <c r="AN509" s="139"/>
      <c r="AO509" s="139"/>
      <c r="AP509" s="139"/>
      <c r="AQ509" s="139"/>
      <c r="AR509" s="139"/>
      <c r="AS509" s="139"/>
      <c r="AT509" s="139"/>
      <c r="AU509" s="139"/>
      <c r="AV509" s="140"/>
    </row>
    <row r="510" spans="1:48" ht="15.75" customHeight="1" x14ac:dyDescent="0.2">
      <c r="A510" s="27"/>
      <c r="B510" s="136"/>
      <c r="C510" s="141"/>
      <c r="D510" s="138"/>
      <c r="E510" s="139"/>
      <c r="F510" s="139"/>
      <c r="G510" s="139"/>
      <c r="H510" s="139"/>
      <c r="I510" s="139"/>
      <c r="J510" s="139"/>
      <c r="K510" s="139"/>
      <c r="L510" s="139"/>
      <c r="M510" s="139"/>
      <c r="N510" s="139"/>
      <c r="O510" s="139"/>
      <c r="P510" s="139"/>
      <c r="Q510" s="139"/>
      <c r="R510" s="139"/>
      <c r="S510" s="139"/>
      <c r="T510" s="139"/>
      <c r="U510" s="139"/>
      <c r="V510" s="139"/>
      <c r="W510" s="139"/>
      <c r="X510" s="139"/>
      <c r="Y510" s="139"/>
      <c r="Z510" s="139"/>
      <c r="AA510" s="139"/>
      <c r="AB510" s="139"/>
      <c r="AC510" s="139"/>
      <c r="AD510" s="139"/>
      <c r="AE510" s="139"/>
      <c r="AF510" s="139"/>
      <c r="AG510" s="139"/>
      <c r="AH510" s="139"/>
      <c r="AI510" s="139"/>
      <c r="AJ510" s="139"/>
      <c r="AK510" s="139"/>
      <c r="AL510" s="139"/>
      <c r="AM510" s="139"/>
      <c r="AN510" s="139"/>
      <c r="AO510" s="139"/>
      <c r="AP510" s="139"/>
      <c r="AQ510" s="139"/>
      <c r="AR510" s="139"/>
      <c r="AS510" s="139"/>
      <c r="AT510" s="139"/>
      <c r="AU510" s="139"/>
      <c r="AV510" s="140"/>
    </row>
    <row r="511" spans="1:48" ht="15.75" customHeight="1" x14ac:dyDescent="0.2">
      <c r="A511" s="27"/>
      <c r="B511" s="136"/>
      <c r="C511" s="141"/>
      <c r="D511" s="138"/>
      <c r="E511" s="139"/>
      <c r="F511" s="139"/>
      <c r="G511" s="139"/>
      <c r="H511" s="139"/>
      <c r="I511" s="139"/>
      <c r="J511" s="139"/>
      <c r="K511" s="139"/>
      <c r="L511" s="139"/>
      <c r="M511" s="139"/>
      <c r="N511" s="139"/>
      <c r="O511" s="139"/>
      <c r="P511" s="139"/>
      <c r="Q511" s="139"/>
      <c r="R511" s="139"/>
      <c r="S511" s="139"/>
      <c r="T511" s="139"/>
      <c r="U511" s="139"/>
      <c r="V511" s="139"/>
      <c r="W511" s="139"/>
      <c r="X511" s="139"/>
      <c r="Y511" s="139"/>
      <c r="Z511" s="139"/>
      <c r="AA511" s="139"/>
      <c r="AB511" s="139"/>
      <c r="AC511" s="139"/>
      <c r="AD511" s="139"/>
      <c r="AE511" s="139"/>
      <c r="AF511" s="139"/>
      <c r="AG511" s="139"/>
      <c r="AH511" s="139"/>
      <c r="AI511" s="139"/>
      <c r="AJ511" s="139"/>
      <c r="AK511" s="139"/>
      <c r="AL511" s="139"/>
      <c r="AM511" s="139"/>
      <c r="AN511" s="139"/>
      <c r="AO511" s="139"/>
      <c r="AP511" s="139"/>
      <c r="AQ511" s="139"/>
      <c r="AR511" s="139"/>
      <c r="AS511" s="139"/>
      <c r="AT511" s="139"/>
      <c r="AU511" s="139"/>
      <c r="AV511" s="140"/>
    </row>
    <row r="512" spans="1:48" ht="15.75" customHeight="1" x14ac:dyDescent="0.2">
      <c r="A512" s="27"/>
      <c r="B512" s="136"/>
      <c r="C512" s="141"/>
      <c r="D512" s="138"/>
      <c r="E512" s="139"/>
      <c r="F512" s="139"/>
      <c r="G512" s="139"/>
      <c r="H512" s="139"/>
      <c r="I512" s="139"/>
      <c r="J512" s="139"/>
      <c r="K512" s="139"/>
      <c r="L512" s="139"/>
      <c r="M512" s="139"/>
      <c r="N512" s="139"/>
      <c r="O512" s="139"/>
      <c r="P512" s="139"/>
      <c r="Q512" s="139"/>
      <c r="R512" s="139"/>
      <c r="S512" s="139"/>
      <c r="T512" s="139"/>
      <c r="U512" s="139"/>
      <c r="V512" s="139"/>
      <c r="W512" s="139"/>
      <c r="X512" s="139"/>
      <c r="Y512" s="139"/>
      <c r="Z512" s="139"/>
      <c r="AA512" s="139"/>
      <c r="AB512" s="139"/>
      <c r="AC512" s="139"/>
      <c r="AD512" s="139"/>
      <c r="AE512" s="139"/>
      <c r="AF512" s="139"/>
      <c r="AG512" s="139"/>
      <c r="AH512" s="139"/>
      <c r="AI512" s="139"/>
      <c r="AJ512" s="139"/>
      <c r="AK512" s="139"/>
      <c r="AL512" s="139"/>
      <c r="AM512" s="139"/>
      <c r="AN512" s="139"/>
      <c r="AO512" s="139"/>
      <c r="AP512" s="139"/>
      <c r="AQ512" s="139"/>
      <c r="AR512" s="139"/>
      <c r="AS512" s="139"/>
      <c r="AT512" s="139"/>
      <c r="AU512" s="139"/>
      <c r="AV512" s="140"/>
    </row>
    <row r="513" spans="1:48" ht="15.75" customHeight="1" x14ac:dyDescent="0.2">
      <c r="A513" s="27"/>
      <c r="B513" s="136"/>
      <c r="C513" s="141"/>
      <c r="D513" s="138"/>
      <c r="E513" s="139"/>
      <c r="F513" s="139"/>
      <c r="G513" s="139"/>
      <c r="H513" s="139"/>
      <c r="I513" s="139"/>
      <c r="J513" s="139"/>
      <c r="K513" s="139"/>
      <c r="L513" s="139"/>
      <c r="M513" s="139"/>
      <c r="N513" s="139"/>
      <c r="O513" s="139"/>
      <c r="P513" s="139"/>
      <c r="Q513" s="139"/>
      <c r="R513" s="139"/>
      <c r="S513" s="139"/>
      <c r="T513" s="139"/>
      <c r="U513" s="139"/>
      <c r="V513" s="139"/>
      <c r="W513" s="139"/>
      <c r="X513" s="139"/>
      <c r="Y513" s="139"/>
      <c r="Z513" s="139"/>
      <c r="AA513" s="139"/>
      <c r="AB513" s="139"/>
      <c r="AC513" s="139"/>
      <c r="AD513" s="139"/>
      <c r="AE513" s="139"/>
      <c r="AF513" s="139"/>
      <c r="AG513" s="139"/>
      <c r="AH513" s="139"/>
      <c r="AI513" s="139"/>
      <c r="AJ513" s="139"/>
      <c r="AK513" s="139"/>
      <c r="AL513" s="139"/>
      <c r="AM513" s="139"/>
      <c r="AN513" s="139"/>
      <c r="AO513" s="139"/>
      <c r="AP513" s="139"/>
      <c r="AQ513" s="139"/>
      <c r="AR513" s="139"/>
      <c r="AS513" s="139"/>
      <c r="AT513" s="139"/>
      <c r="AU513" s="139"/>
      <c r="AV513" s="140"/>
    </row>
    <row r="514" spans="1:48" ht="15.75" customHeight="1" x14ac:dyDescent="0.2">
      <c r="A514" s="27"/>
      <c r="B514" s="136"/>
      <c r="C514" s="141"/>
      <c r="D514" s="138"/>
      <c r="E514" s="139"/>
      <c r="F514" s="139"/>
      <c r="G514" s="139"/>
      <c r="H514" s="139"/>
      <c r="I514" s="139"/>
      <c r="J514" s="139"/>
      <c r="K514" s="139"/>
      <c r="L514" s="139"/>
      <c r="M514" s="139"/>
      <c r="N514" s="139"/>
      <c r="O514" s="139"/>
      <c r="P514" s="139"/>
      <c r="Q514" s="139"/>
      <c r="R514" s="139"/>
      <c r="S514" s="139"/>
      <c r="T514" s="139"/>
      <c r="U514" s="139"/>
      <c r="V514" s="139"/>
      <c r="W514" s="139"/>
      <c r="X514" s="139"/>
      <c r="Y514" s="139"/>
      <c r="Z514" s="139"/>
      <c r="AA514" s="139"/>
      <c r="AB514" s="139"/>
      <c r="AC514" s="139"/>
      <c r="AD514" s="139"/>
      <c r="AE514" s="139"/>
      <c r="AF514" s="139"/>
      <c r="AG514" s="139"/>
      <c r="AH514" s="139"/>
      <c r="AI514" s="139"/>
      <c r="AJ514" s="139"/>
      <c r="AK514" s="139"/>
      <c r="AL514" s="139"/>
      <c r="AM514" s="139"/>
      <c r="AN514" s="139"/>
      <c r="AO514" s="139"/>
      <c r="AP514" s="139"/>
      <c r="AQ514" s="139"/>
      <c r="AR514" s="139"/>
      <c r="AS514" s="139"/>
      <c r="AT514" s="139"/>
      <c r="AU514" s="139"/>
      <c r="AV514" s="140"/>
    </row>
    <row r="515" spans="1:48" ht="15.75" customHeight="1" x14ac:dyDescent="0.2">
      <c r="A515" s="27"/>
      <c r="B515" s="136"/>
      <c r="C515" s="141"/>
      <c r="D515" s="138"/>
      <c r="E515" s="139"/>
      <c r="F515" s="139"/>
      <c r="G515" s="139"/>
      <c r="H515" s="139"/>
      <c r="I515" s="139"/>
      <c r="J515" s="139"/>
      <c r="K515" s="139"/>
      <c r="L515" s="139"/>
      <c r="M515" s="139"/>
      <c r="N515" s="139"/>
      <c r="O515" s="139"/>
      <c r="P515" s="139"/>
      <c r="Q515" s="139"/>
      <c r="R515" s="139"/>
      <c r="S515" s="139"/>
      <c r="T515" s="139"/>
      <c r="U515" s="139"/>
      <c r="V515" s="139"/>
      <c r="W515" s="139"/>
      <c r="X515" s="139"/>
      <c r="Y515" s="139"/>
      <c r="Z515" s="139"/>
      <c r="AA515" s="139"/>
      <c r="AB515" s="139"/>
      <c r="AC515" s="139"/>
      <c r="AD515" s="139"/>
      <c r="AE515" s="139"/>
      <c r="AF515" s="139"/>
      <c r="AG515" s="139"/>
      <c r="AH515" s="139"/>
      <c r="AI515" s="139"/>
      <c r="AJ515" s="139"/>
      <c r="AK515" s="139"/>
      <c r="AL515" s="139"/>
      <c r="AM515" s="139"/>
      <c r="AN515" s="139"/>
      <c r="AO515" s="139"/>
      <c r="AP515" s="139"/>
      <c r="AQ515" s="139"/>
      <c r="AR515" s="139"/>
      <c r="AS515" s="139"/>
      <c r="AT515" s="139"/>
      <c r="AU515" s="139"/>
      <c r="AV515" s="140"/>
    </row>
    <row r="516" spans="1:48" ht="15.75" customHeight="1" x14ac:dyDescent="0.2">
      <c r="A516" s="27"/>
      <c r="B516" s="136"/>
      <c r="C516" s="141"/>
      <c r="D516" s="138"/>
      <c r="E516" s="139"/>
      <c r="F516" s="139"/>
      <c r="G516" s="139"/>
      <c r="H516" s="139"/>
      <c r="I516" s="139"/>
      <c r="J516" s="139"/>
      <c r="K516" s="139"/>
      <c r="L516" s="139"/>
      <c r="M516" s="139"/>
      <c r="N516" s="139"/>
      <c r="O516" s="139"/>
      <c r="P516" s="139"/>
      <c r="Q516" s="139"/>
      <c r="R516" s="139"/>
      <c r="S516" s="139"/>
      <c r="T516" s="139"/>
      <c r="U516" s="139"/>
      <c r="V516" s="139"/>
      <c r="W516" s="139"/>
      <c r="X516" s="139"/>
      <c r="Y516" s="139"/>
      <c r="Z516" s="139"/>
      <c r="AA516" s="139"/>
      <c r="AB516" s="139"/>
      <c r="AC516" s="139"/>
      <c r="AD516" s="139"/>
      <c r="AE516" s="139"/>
      <c r="AF516" s="139"/>
      <c r="AG516" s="139"/>
      <c r="AH516" s="139"/>
      <c r="AI516" s="139"/>
      <c r="AJ516" s="139"/>
      <c r="AK516" s="139"/>
      <c r="AL516" s="139"/>
      <c r="AM516" s="139"/>
      <c r="AN516" s="139"/>
      <c r="AO516" s="139"/>
      <c r="AP516" s="139"/>
      <c r="AQ516" s="139"/>
      <c r="AR516" s="139"/>
      <c r="AS516" s="139"/>
      <c r="AT516" s="139"/>
      <c r="AU516" s="139"/>
      <c r="AV516" s="140"/>
    </row>
    <row r="517" spans="1:48" ht="15.75" customHeight="1" x14ac:dyDescent="0.2">
      <c r="A517" s="27"/>
      <c r="B517" s="136"/>
      <c r="C517" s="141"/>
      <c r="D517" s="138"/>
      <c r="E517" s="139"/>
      <c r="F517" s="139"/>
      <c r="G517" s="139"/>
      <c r="H517" s="139"/>
      <c r="I517" s="139"/>
      <c r="J517" s="139"/>
      <c r="K517" s="139"/>
      <c r="L517" s="139"/>
      <c r="M517" s="139"/>
      <c r="N517" s="139"/>
      <c r="O517" s="139"/>
      <c r="P517" s="139"/>
      <c r="Q517" s="139"/>
      <c r="R517" s="139"/>
      <c r="S517" s="139"/>
      <c r="T517" s="139"/>
      <c r="U517" s="139"/>
      <c r="V517" s="139"/>
      <c r="W517" s="139"/>
      <c r="X517" s="139"/>
      <c r="Y517" s="139"/>
      <c r="Z517" s="139"/>
      <c r="AA517" s="139"/>
      <c r="AB517" s="139"/>
      <c r="AC517" s="139"/>
      <c r="AD517" s="139"/>
      <c r="AE517" s="139"/>
      <c r="AF517" s="139"/>
      <c r="AG517" s="139"/>
      <c r="AH517" s="139"/>
      <c r="AI517" s="139"/>
      <c r="AJ517" s="139"/>
      <c r="AK517" s="139"/>
      <c r="AL517" s="139"/>
      <c r="AM517" s="139"/>
      <c r="AN517" s="139"/>
      <c r="AO517" s="139"/>
      <c r="AP517" s="139"/>
      <c r="AQ517" s="139"/>
      <c r="AR517" s="139"/>
      <c r="AS517" s="139"/>
      <c r="AT517" s="139"/>
      <c r="AU517" s="139"/>
      <c r="AV517" s="140"/>
    </row>
    <row r="518" spans="1:48" ht="15.75" customHeight="1" x14ac:dyDescent="0.2">
      <c r="A518" s="27"/>
      <c r="B518" s="136"/>
      <c r="C518" s="141"/>
      <c r="D518" s="138"/>
      <c r="E518" s="139"/>
      <c r="F518" s="139"/>
      <c r="G518" s="139"/>
      <c r="H518" s="139"/>
      <c r="I518" s="139"/>
      <c r="J518" s="139"/>
      <c r="K518" s="139"/>
      <c r="L518" s="139"/>
      <c r="M518" s="139"/>
      <c r="N518" s="139"/>
      <c r="O518" s="139"/>
      <c r="P518" s="139"/>
      <c r="Q518" s="139"/>
      <c r="R518" s="139"/>
      <c r="S518" s="139"/>
      <c r="T518" s="139"/>
      <c r="U518" s="139"/>
      <c r="V518" s="139"/>
      <c r="W518" s="139"/>
      <c r="X518" s="139"/>
      <c r="Y518" s="139"/>
      <c r="Z518" s="139"/>
      <c r="AA518" s="139"/>
      <c r="AB518" s="139"/>
      <c r="AC518" s="139"/>
      <c r="AD518" s="139"/>
      <c r="AE518" s="139"/>
      <c r="AF518" s="139"/>
      <c r="AG518" s="139"/>
      <c r="AH518" s="139"/>
      <c r="AI518" s="139"/>
      <c r="AJ518" s="139"/>
      <c r="AK518" s="139"/>
      <c r="AL518" s="139"/>
      <c r="AM518" s="139"/>
      <c r="AN518" s="139"/>
      <c r="AO518" s="139"/>
      <c r="AP518" s="139"/>
      <c r="AQ518" s="139"/>
      <c r="AR518" s="139"/>
      <c r="AS518" s="139"/>
      <c r="AT518" s="139"/>
      <c r="AU518" s="139"/>
      <c r="AV518" s="140"/>
    </row>
    <row r="519" spans="1:48" ht="15.75" customHeight="1" x14ac:dyDescent="0.2">
      <c r="A519" s="27"/>
      <c r="B519" s="136"/>
      <c r="C519" s="141"/>
      <c r="D519" s="138"/>
      <c r="E519" s="139"/>
      <c r="F519" s="139"/>
      <c r="G519" s="139"/>
      <c r="H519" s="139"/>
      <c r="I519" s="139"/>
      <c r="J519" s="139"/>
      <c r="K519" s="139"/>
      <c r="L519" s="139"/>
      <c r="M519" s="139"/>
      <c r="N519" s="139"/>
      <c r="O519" s="139"/>
      <c r="P519" s="139"/>
      <c r="Q519" s="139"/>
      <c r="R519" s="139"/>
      <c r="S519" s="139"/>
      <c r="T519" s="139"/>
      <c r="U519" s="139"/>
      <c r="V519" s="139"/>
      <c r="W519" s="139"/>
      <c r="X519" s="139"/>
      <c r="Y519" s="139"/>
      <c r="Z519" s="139"/>
      <c r="AA519" s="139"/>
      <c r="AB519" s="139"/>
      <c r="AC519" s="139"/>
      <c r="AD519" s="139"/>
      <c r="AE519" s="139"/>
      <c r="AF519" s="139"/>
      <c r="AG519" s="139"/>
      <c r="AH519" s="139"/>
      <c r="AI519" s="139"/>
      <c r="AJ519" s="139"/>
      <c r="AK519" s="139"/>
      <c r="AL519" s="139"/>
      <c r="AM519" s="139"/>
      <c r="AN519" s="139"/>
      <c r="AO519" s="139"/>
      <c r="AP519" s="139"/>
      <c r="AQ519" s="139"/>
      <c r="AR519" s="139"/>
      <c r="AS519" s="139"/>
      <c r="AT519" s="139"/>
      <c r="AU519" s="139"/>
      <c r="AV519" s="140"/>
    </row>
    <row r="520" spans="1:48" ht="15.75" customHeight="1" x14ac:dyDescent="0.2">
      <c r="A520" s="27"/>
      <c r="B520" s="136"/>
      <c r="C520" s="141"/>
      <c r="D520" s="138"/>
      <c r="E520" s="139"/>
      <c r="F520" s="139"/>
      <c r="G520" s="139"/>
      <c r="H520" s="139"/>
      <c r="I520" s="139"/>
      <c r="J520" s="139"/>
      <c r="K520" s="139"/>
      <c r="L520" s="139"/>
      <c r="M520" s="139"/>
      <c r="N520" s="139"/>
      <c r="O520" s="139"/>
      <c r="P520" s="139"/>
      <c r="Q520" s="139"/>
      <c r="R520" s="139"/>
      <c r="S520" s="139"/>
      <c r="T520" s="139"/>
      <c r="U520" s="139"/>
      <c r="V520" s="139"/>
      <c r="W520" s="139"/>
      <c r="X520" s="139"/>
      <c r="Y520" s="139"/>
      <c r="Z520" s="139"/>
      <c r="AA520" s="139"/>
      <c r="AB520" s="139"/>
      <c r="AC520" s="139"/>
      <c r="AD520" s="139"/>
      <c r="AE520" s="139"/>
      <c r="AF520" s="139"/>
      <c r="AG520" s="139"/>
      <c r="AH520" s="139"/>
      <c r="AI520" s="139"/>
      <c r="AJ520" s="139"/>
      <c r="AK520" s="139"/>
      <c r="AL520" s="139"/>
      <c r="AM520" s="139"/>
      <c r="AN520" s="139"/>
      <c r="AO520" s="139"/>
      <c r="AP520" s="139"/>
      <c r="AQ520" s="139"/>
      <c r="AR520" s="139"/>
      <c r="AS520" s="139"/>
      <c r="AT520" s="139"/>
      <c r="AU520" s="139"/>
      <c r="AV520" s="140"/>
    </row>
    <row r="521" spans="1:48" ht="15.75" customHeight="1" x14ac:dyDescent="0.2">
      <c r="A521" s="27"/>
      <c r="B521" s="136"/>
      <c r="C521" s="141"/>
      <c r="D521" s="138"/>
      <c r="E521" s="139"/>
      <c r="F521" s="139"/>
      <c r="G521" s="139"/>
      <c r="H521" s="139"/>
      <c r="I521" s="139"/>
      <c r="J521" s="139"/>
      <c r="K521" s="139"/>
      <c r="L521" s="139"/>
      <c r="M521" s="139"/>
      <c r="N521" s="139"/>
      <c r="O521" s="139"/>
      <c r="P521" s="139"/>
      <c r="Q521" s="139"/>
      <c r="R521" s="139"/>
      <c r="S521" s="139"/>
      <c r="T521" s="139"/>
      <c r="U521" s="139"/>
      <c r="V521" s="139"/>
      <c r="W521" s="139"/>
      <c r="X521" s="139"/>
      <c r="Y521" s="139"/>
      <c r="Z521" s="139"/>
      <c r="AA521" s="139"/>
      <c r="AB521" s="139"/>
      <c r="AC521" s="139"/>
      <c r="AD521" s="139"/>
      <c r="AE521" s="139"/>
      <c r="AF521" s="139"/>
      <c r="AG521" s="139"/>
      <c r="AH521" s="139"/>
      <c r="AI521" s="139"/>
      <c r="AJ521" s="139"/>
      <c r="AK521" s="139"/>
      <c r="AL521" s="139"/>
      <c r="AM521" s="139"/>
      <c r="AN521" s="139"/>
      <c r="AO521" s="139"/>
      <c r="AP521" s="139"/>
      <c r="AQ521" s="139"/>
      <c r="AR521" s="139"/>
      <c r="AS521" s="139"/>
      <c r="AT521" s="139"/>
      <c r="AU521" s="139"/>
      <c r="AV521" s="140"/>
    </row>
    <row r="522" spans="1:48" ht="15.75" customHeight="1" x14ac:dyDescent="0.2">
      <c r="A522" s="27"/>
      <c r="B522" s="136"/>
      <c r="C522" s="141"/>
      <c r="D522" s="138"/>
      <c r="E522" s="139"/>
      <c r="F522" s="139"/>
      <c r="G522" s="139"/>
      <c r="H522" s="139"/>
      <c r="I522" s="139"/>
      <c r="J522" s="139"/>
      <c r="K522" s="139"/>
      <c r="L522" s="139"/>
      <c r="M522" s="139"/>
      <c r="N522" s="139"/>
      <c r="O522" s="139"/>
      <c r="P522" s="139"/>
      <c r="Q522" s="139"/>
      <c r="R522" s="139"/>
      <c r="S522" s="139"/>
      <c r="T522" s="139"/>
      <c r="U522" s="139"/>
      <c r="V522" s="139"/>
      <c r="W522" s="139"/>
      <c r="X522" s="139"/>
      <c r="Y522" s="139"/>
      <c r="Z522" s="139"/>
      <c r="AA522" s="139"/>
      <c r="AB522" s="139"/>
      <c r="AC522" s="139"/>
      <c r="AD522" s="139"/>
      <c r="AE522" s="139"/>
      <c r="AF522" s="139"/>
      <c r="AG522" s="139"/>
      <c r="AH522" s="139"/>
      <c r="AI522" s="139"/>
      <c r="AJ522" s="139"/>
      <c r="AK522" s="139"/>
      <c r="AL522" s="139"/>
      <c r="AM522" s="139"/>
      <c r="AN522" s="139"/>
      <c r="AO522" s="139"/>
      <c r="AP522" s="139"/>
      <c r="AQ522" s="139"/>
      <c r="AR522" s="139"/>
      <c r="AS522" s="139"/>
      <c r="AT522" s="139"/>
      <c r="AU522" s="139"/>
      <c r="AV522" s="140"/>
    </row>
    <row r="523" spans="1:48" ht="15.75" customHeight="1" x14ac:dyDescent="0.2">
      <c r="A523" s="27"/>
      <c r="B523" s="136"/>
      <c r="C523" s="141"/>
      <c r="D523" s="138"/>
      <c r="E523" s="139"/>
      <c r="F523" s="139"/>
      <c r="G523" s="139"/>
      <c r="H523" s="139"/>
      <c r="I523" s="139"/>
      <c r="J523" s="139"/>
      <c r="K523" s="139"/>
      <c r="L523" s="139"/>
      <c r="M523" s="139"/>
      <c r="N523" s="139"/>
      <c r="O523" s="139"/>
      <c r="P523" s="139"/>
      <c r="Q523" s="139"/>
      <c r="R523" s="139"/>
      <c r="S523" s="139"/>
      <c r="T523" s="139"/>
      <c r="U523" s="139"/>
      <c r="V523" s="139"/>
      <c r="W523" s="139"/>
      <c r="X523" s="139"/>
      <c r="Y523" s="139"/>
      <c r="Z523" s="139"/>
      <c r="AA523" s="139"/>
      <c r="AB523" s="139"/>
      <c r="AC523" s="139"/>
      <c r="AD523" s="139"/>
      <c r="AE523" s="139"/>
      <c r="AF523" s="139"/>
      <c r="AG523" s="139"/>
      <c r="AH523" s="139"/>
      <c r="AI523" s="139"/>
      <c r="AJ523" s="139"/>
      <c r="AK523" s="139"/>
      <c r="AL523" s="139"/>
      <c r="AM523" s="139"/>
      <c r="AN523" s="139"/>
      <c r="AO523" s="139"/>
      <c r="AP523" s="139"/>
      <c r="AQ523" s="139"/>
      <c r="AR523" s="139"/>
      <c r="AS523" s="139"/>
      <c r="AT523" s="139"/>
      <c r="AU523" s="139"/>
      <c r="AV523" s="140"/>
    </row>
    <row r="524" spans="1:48" ht="15.75" customHeight="1" x14ac:dyDescent="0.2">
      <c r="A524" s="27"/>
      <c r="B524" s="136"/>
      <c r="C524" s="141"/>
      <c r="D524" s="138"/>
      <c r="E524" s="139"/>
      <c r="F524" s="139"/>
      <c r="G524" s="139"/>
      <c r="H524" s="139"/>
      <c r="I524" s="139"/>
      <c r="J524" s="139"/>
      <c r="K524" s="139"/>
      <c r="L524" s="139"/>
      <c r="M524" s="139"/>
      <c r="N524" s="139"/>
      <c r="O524" s="139"/>
      <c r="P524" s="139"/>
      <c r="Q524" s="139"/>
      <c r="R524" s="139"/>
      <c r="S524" s="139"/>
      <c r="T524" s="139"/>
      <c r="U524" s="139"/>
      <c r="V524" s="139"/>
      <c r="W524" s="139"/>
      <c r="X524" s="139"/>
      <c r="Y524" s="139"/>
      <c r="Z524" s="139"/>
      <c r="AA524" s="139"/>
      <c r="AB524" s="139"/>
      <c r="AC524" s="139"/>
      <c r="AD524" s="139"/>
      <c r="AE524" s="139"/>
      <c r="AF524" s="139"/>
      <c r="AG524" s="139"/>
      <c r="AH524" s="139"/>
      <c r="AI524" s="139"/>
      <c r="AJ524" s="139"/>
      <c r="AK524" s="139"/>
      <c r="AL524" s="139"/>
      <c r="AM524" s="139"/>
      <c r="AN524" s="139"/>
      <c r="AO524" s="139"/>
      <c r="AP524" s="139"/>
      <c r="AQ524" s="139"/>
      <c r="AR524" s="139"/>
      <c r="AS524" s="139"/>
      <c r="AT524" s="139"/>
      <c r="AU524" s="139"/>
      <c r="AV524" s="140"/>
    </row>
    <row r="525" spans="1:48" ht="15.75" customHeight="1" x14ac:dyDescent="0.2">
      <c r="A525" s="27"/>
      <c r="B525" s="136"/>
      <c r="C525" s="141"/>
      <c r="D525" s="138"/>
      <c r="E525" s="139"/>
      <c r="F525" s="139"/>
      <c r="G525" s="139"/>
      <c r="H525" s="139"/>
      <c r="I525" s="139"/>
      <c r="J525" s="139"/>
      <c r="K525" s="139"/>
      <c r="L525" s="139"/>
      <c r="M525" s="139"/>
      <c r="N525" s="139"/>
      <c r="O525" s="139"/>
      <c r="P525" s="139"/>
      <c r="Q525" s="139"/>
      <c r="R525" s="139"/>
      <c r="S525" s="139"/>
      <c r="T525" s="139"/>
      <c r="U525" s="139"/>
      <c r="V525" s="139"/>
      <c r="W525" s="139"/>
      <c r="X525" s="139"/>
      <c r="Y525" s="139"/>
      <c r="Z525" s="139"/>
      <c r="AA525" s="139"/>
      <c r="AB525" s="139"/>
      <c r="AC525" s="139"/>
      <c r="AD525" s="139"/>
      <c r="AE525" s="139"/>
      <c r="AF525" s="139"/>
      <c r="AG525" s="139"/>
      <c r="AH525" s="139"/>
      <c r="AI525" s="139"/>
      <c r="AJ525" s="139"/>
      <c r="AK525" s="139"/>
      <c r="AL525" s="139"/>
      <c r="AM525" s="139"/>
      <c r="AN525" s="139"/>
      <c r="AO525" s="139"/>
      <c r="AP525" s="139"/>
      <c r="AQ525" s="139"/>
      <c r="AR525" s="139"/>
      <c r="AS525" s="139"/>
      <c r="AT525" s="139"/>
      <c r="AU525" s="139"/>
      <c r="AV525" s="140"/>
    </row>
    <row r="526" spans="1:48" ht="15.75" customHeight="1" x14ac:dyDescent="0.2">
      <c r="A526" s="27"/>
      <c r="B526" s="136"/>
      <c r="C526" s="141"/>
      <c r="D526" s="138"/>
      <c r="E526" s="139"/>
      <c r="F526" s="139"/>
      <c r="G526" s="139"/>
      <c r="H526" s="139"/>
      <c r="I526" s="139"/>
      <c r="J526" s="139"/>
      <c r="K526" s="139"/>
      <c r="L526" s="139"/>
      <c r="M526" s="139"/>
      <c r="N526" s="139"/>
      <c r="O526" s="139"/>
      <c r="P526" s="139"/>
      <c r="Q526" s="139"/>
      <c r="R526" s="139"/>
      <c r="S526" s="139"/>
      <c r="T526" s="139"/>
      <c r="U526" s="139"/>
      <c r="V526" s="139"/>
      <c r="W526" s="139"/>
      <c r="X526" s="139"/>
      <c r="Y526" s="139"/>
      <c r="Z526" s="139"/>
      <c r="AA526" s="139"/>
      <c r="AB526" s="139"/>
      <c r="AC526" s="139"/>
      <c r="AD526" s="139"/>
      <c r="AE526" s="139"/>
      <c r="AF526" s="139"/>
      <c r="AG526" s="139"/>
      <c r="AH526" s="139"/>
      <c r="AI526" s="139"/>
      <c r="AJ526" s="139"/>
      <c r="AK526" s="139"/>
      <c r="AL526" s="139"/>
      <c r="AM526" s="139"/>
      <c r="AN526" s="139"/>
      <c r="AO526" s="139"/>
      <c r="AP526" s="139"/>
      <c r="AQ526" s="139"/>
      <c r="AR526" s="139"/>
      <c r="AS526" s="139"/>
      <c r="AT526" s="139"/>
      <c r="AU526" s="139"/>
      <c r="AV526" s="140"/>
    </row>
    <row r="527" spans="1:48" ht="15.75" customHeight="1" x14ac:dyDescent="0.2">
      <c r="A527" s="27"/>
      <c r="B527" s="136"/>
      <c r="C527" s="141"/>
      <c r="D527" s="138"/>
      <c r="E527" s="139"/>
      <c r="F527" s="139"/>
      <c r="G527" s="139"/>
      <c r="H527" s="139"/>
      <c r="I527" s="139"/>
      <c r="J527" s="139"/>
      <c r="K527" s="139"/>
      <c r="L527" s="139"/>
      <c r="M527" s="139"/>
      <c r="N527" s="139"/>
      <c r="O527" s="139"/>
      <c r="P527" s="139"/>
      <c r="Q527" s="139"/>
      <c r="R527" s="139"/>
      <c r="S527" s="139"/>
      <c r="T527" s="139"/>
      <c r="U527" s="139"/>
      <c r="V527" s="139"/>
      <c r="W527" s="139"/>
      <c r="X527" s="139"/>
      <c r="Y527" s="139"/>
      <c r="Z527" s="139"/>
      <c r="AA527" s="139"/>
      <c r="AB527" s="139"/>
      <c r="AC527" s="139"/>
      <c r="AD527" s="139"/>
      <c r="AE527" s="139"/>
      <c r="AF527" s="139"/>
      <c r="AG527" s="139"/>
      <c r="AH527" s="139"/>
      <c r="AI527" s="139"/>
      <c r="AJ527" s="139"/>
      <c r="AK527" s="139"/>
      <c r="AL527" s="139"/>
      <c r="AM527" s="139"/>
      <c r="AN527" s="139"/>
      <c r="AO527" s="139"/>
      <c r="AP527" s="139"/>
      <c r="AQ527" s="139"/>
      <c r="AR527" s="139"/>
      <c r="AS527" s="139"/>
      <c r="AT527" s="139"/>
      <c r="AU527" s="139"/>
      <c r="AV527" s="140"/>
    </row>
    <row r="528" spans="1:48" ht="15.75" customHeight="1" x14ac:dyDescent="0.2">
      <c r="A528" s="27"/>
      <c r="B528" s="136"/>
      <c r="C528" s="141"/>
      <c r="D528" s="138"/>
      <c r="E528" s="139"/>
      <c r="F528" s="139"/>
      <c r="G528" s="139"/>
      <c r="H528" s="139"/>
      <c r="I528" s="139"/>
      <c r="J528" s="139"/>
      <c r="K528" s="139"/>
      <c r="L528" s="139"/>
      <c r="M528" s="139"/>
      <c r="N528" s="139"/>
      <c r="O528" s="139"/>
      <c r="P528" s="139"/>
      <c r="Q528" s="139"/>
      <c r="R528" s="139"/>
      <c r="S528" s="139"/>
      <c r="T528" s="139"/>
      <c r="U528" s="139"/>
      <c r="V528" s="139"/>
      <c r="W528" s="139"/>
      <c r="X528" s="139"/>
      <c r="Y528" s="139"/>
      <c r="Z528" s="139"/>
      <c r="AA528" s="139"/>
      <c r="AB528" s="139"/>
      <c r="AC528" s="139"/>
      <c r="AD528" s="139"/>
      <c r="AE528" s="139"/>
      <c r="AF528" s="139"/>
      <c r="AG528" s="139"/>
      <c r="AH528" s="139"/>
      <c r="AI528" s="139"/>
      <c r="AJ528" s="139"/>
      <c r="AK528" s="139"/>
      <c r="AL528" s="139"/>
      <c r="AM528" s="139"/>
      <c r="AN528" s="139"/>
      <c r="AO528" s="139"/>
      <c r="AP528" s="139"/>
      <c r="AQ528" s="139"/>
      <c r="AR528" s="139"/>
      <c r="AS528" s="139"/>
      <c r="AT528" s="139"/>
      <c r="AU528" s="139"/>
      <c r="AV528" s="140"/>
    </row>
    <row r="529" spans="1:48" ht="15.75" customHeight="1" x14ac:dyDescent="0.2">
      <c r="A529" s="27"/>
      <c r="B529" s="136"/>
      <c r="C529" s="141"/>
      <c r="D529" s="138"/>
      <c r="E529" s="139"/>
      <c r="F529" s="139"/>
      <c r="G529" s="139"/>
      <c r="H529" s="139"/>
      <c r="I529" s="139"/>
      <c r="J529" s="139"/>
      <c r="K529" s="139"/>
      <c r="L529" s="139"/>
      <c r="M529" s="139"/>
      <c r="N529" s="139"/>
      <c r="O529" s="139"/>
      <c r="P529" s="139"/>
      <c r="Q529" s="139"/>
      <c r="R529" s="139"/>
      <c r="S529" s="139"/>
      <c r="T529" s="139"/>
      <c r="U529" s="139"/>
      <c r="V529" s="139"/>
      <c r="W529" s="139"/>
      <c r="X529" s="139"/>
      <c r="Y529" s="139"/>
      <c r="Z529" s="139"/>
      <c r="AA529" s="139"/>
      <c r="AB529" s="139"/>
      <c r="AC529" s="139"/>
      <c r="AD529" s="139"/>
      <c r="AE529" s="139"/>
      <c r="AF529" s="139"/>
      <c r="AG529" s="139"/>
      <c r="AH529" s="139"/>
      <c r="AI529" s="139"/>
      <c r="AJ529" s="139"/>
      <c r="AK529" s="139"/>
      <c r="AL529" s="139"/>
      <c r="AM529" s="139"/>
      <c r="AN529" s="139"/>
      <c r="AO529" s="139"/>
      <c r="AP529" s="139"/>
      <c r="AQ529" s="139"/>
      <c r="AR529" s="139"/>
      <c r="AS529" s="139"/>
      <c r="AT529" s="139"/>
      <c r="AU529" s="139"/>
      <c r="AV529" s="140"/>
    </row>
    <row r="530" spans="1:48" ht="15.75" customHeight="1" x14ac:dyDescent="0.2">
      <c r="A530" s="27"/>
      <c r="B530" s="136"/>
      <c r="C530" s="141"/>
      <c r="D530" s="138"/>
      <c r="E530" s="139"/>
      <c r="F530" s="139"/>
      <c r="G530" s="139"/>
      <c r="H530" s="139"/>
      <c r="I530" s="139"/>
      <c r="J530" s="139"/>
      <c r="K530" s="139"/>
      <c r="L530" s="139"/>
      <c r="M530" s="139"/>
      <c r="N530" s="139"/>
      <c r="O530" s="139"/>
      <c r="P530" s="139"/>
      <c r="Q530" s="139"/>
      <c r="R530" s="139"/>
      <c r="S530" s="139"/>
      <c r="T530" s="139"/>
      <c r="U530" s="139"/>
      <c r="V530" s="139"/>
      <c r="W530" s="139"/>
      <c r="X530" s="139"/>
      <c r="Y530" s="139"/>
      <c r="Z530" s="139"/>
      <c r="AA530" s="139"/>
      <c r="AB530" s="139"/>
      <c r="AC530" s="139"/>
      <c r="AD530" s="139"/>
      <c r="AE530" s="139"/>
      <c r="AF530" s="139"/>
      <c r="AG530" s="139"/>
      <c r="AH530" s="139"/>
      <c r="AI530" s="139"/>
      <c r="AJ530" s="139"/>
      <c r="AK530" s="139"/>
      <c r="AL530" s="139"/>
      <c r="AM530" s="139"/>
      <c r="AN530" s="139"/>
      <c r="AO530" s="139"/>
      <c r="AP530" s="139"/>
      <c r="AQ530" s="139"/>
      <c r="AR530" s="139"/>
      <c r="AS530" s="139"/>
      <c r="AT530" s="139"/>
      <c r="AU530" s="139"/>
      <c r="AV530" s="140"/>
    </row>
    <row r="531" spans="1:48" ht="15.75" customHeight="1" x14ac:dyDescent="0.2">
      <c r="A531" s="27"/>
      <c r="B531" s="136"/>
      <c r="C531" s="141"/>
      <c r="D531" s="138"/>
      <c r="E531" s="139"/>
      <c r="F531" s="139"/>
      <c r="G531" s="139"/>
      <c r="H531" s="139"/>
      <c r="I531" s="139"/>
      <c r="J531" s="139"/>
      <c r="K531" s="139"/>
      <c r="L531" s="139"/>
      <c r="M531" s="139"/>
      <c r="N531" s="139"/>
      <c r="O531" s="139"/>
      <c r="P531" s="139"/>
      <c r="Q531" s="139"/>
      <c r="R531" s="139"/>
      <c r="S531" s="139"/>
      <c r="T531" s="139"/>
      <c r="U531" s="139"/>
      <c r="V531" s="139"/>
      <c r="W531" s="139"/>
      <c r="X531" s="139"/>
      <c r="Y531" s="139"/>
      <c r="Z531" s="139"/>
      <c r="AA531" s="139"/>
      <c r="AB531" s="139"/>
      <c r="AC531" s="139"/>
      <c r="AD531" s="139"/>
      <c r="AE531" s="139"/>
      <c r="AF531" s="139"/>
      <c r="AG531" s="139"/>
      <c r="AH531" s="139"/>
      <c r="AI531" s="139"/>
      <c r="AJ531" s="139"/>
      <c r="AK531" s="139"/>
      <c r="AL531" s="139"/>
      <c r="AM531" s="139"/>
      <c r="AN531" s="139"/>
      <c r="AO531" s="139"/>
      <c r="AP531" s="139"/>
      <c r="AQ531" s="139"/>
      <c r="AR531" s="139"/>
      <c r="AS531" s="139"/>
      <c r="AT531" s="139"/>
      <c r="AU531" s="139"/>
      <c r="AV531" s="140"/>
    </row>
    <row r="532" spans="1:48" ht="15.75" customHeight="1" x14ac:dyDescent="0.2">
      <c r="A532" s="27"/>
      <c r="B532" s="136"/>
      <c r="C532" s="141"/>
      <c r="D532" s="138"/>
      <c r="E532" s="139"/>
      <c r="F532" s="139"/>
      <c r="G532" s="139"/>
      <c r="H532" s="139"/>
      <c r="I532" s="139"/>
      <c r="J532" s="139"/>
      <c r="K532" s="139"/>
      <c r="L532" s="139"/>
      <c r="M532" s="139"/>
      <c r="N532" s="139"/>
      <c r="O532" s="139"/>
      <c r="P532" s="139"/>
      <c r="Q532" s="139"/>
      <c r="R532" s="139"/>
      <c r="S532" s="139"/>
      <c r="T532" s="139"/>
      <c r="U532" s="139"/>
      <c r="V532" s="139"/>
      <c r="W532" s="139"/>
      <c r="X532" s="139"/>
      <c r="Y532" s="139"/>
      <c r="Z532" s="139"/>
      <c r="AA532" s="139"/>
      <c r="AB532" s="139"/>
      <c r="AC532" s="139"/>
      <c r="AD532" s="139"/>
      <c r="AE532" s="139"/>
      <c r="AF532" s="139"/>
      <c r="AG532" s="139"/>
      <c r="AH532" s="139"/>
      <c r="AI532" s="139"/>
      <c r="AJ532" s="139"/>
      <c r="AK532" s="139"/>
      <c r="AL532" s="139"/>
      <c r="AM532" s="139"/>
      <c r="AN532" s="139"/>
      <c r="AO532" s="139"/>
      <c r="AP532" s="139"/>
      <c r="AQ532" s="139"/>
      <c r="AR532" s="139"/>
      <c r="AS532" s="139"/>
      <c r="AT532" s="139"/>
      <c r="AU532" s="139"/>
      <c r="AV532" s="140"/>
    </row>
    <row r="533" spans="1:48" ht="15.75" customHeight="1" x14ac:dyDescent="0.2">
      <c r="A533" s="27"/>
      <c r="B533" s="136"/>
      <c r="C533" s="141"/>
      <c r="D533" s="138"/>
      <c r="E533" s="139"/>
      <c r="F533" s="139"/>
      <c r="G533" s="139"/>
      <c r="H533" s="139"/>
      <c r="I533" s="139"/>
      <c r="J533" s="139"/>
      <c r="K533" s="139"/>
      <c r="L533" s="139"/>
      <c r="M533" s="139"/>
      <c r="N533" s="139"/>
      <c r="O533" s="139"/>
      <c r="P533" s="139"/>
      <c r="Q533" s="139"/>
      <c r="R533" s="139"/>
      <c r="S533" s="139"/>
      <c r="T533" s="139"/>
      <c r="U533" s="139"/>
      <c r="V533" s="139"/>
      <c r="W533" s="139"/>
      <c r="X533" s="139"/>
      <c r="Y533" s="139"/>
      <c r="Z533" s="139"/>
      <c r="AA533" s="139"/>
      <c r="AB533" s="139"/>
      <c r="AC533" s="139"/>
      <c r="AD533" s="139"/>
      <c r="AE533" s="139"/>
      <c r="AF533" s="139"/>
      <c r="AG533" s="139"/>
      <c r="AH533" s="139"/>
      <c r="AI533" s="139"/>
      <c r="AJ533" s="139"/>
      <c r="AK533" s="139"/>
      <c r="AL533" s="139"/>
      <c r="AM533" s="139"/>
      <c r="AN533" s="139"/>
      <c r="AO533" s="139"/>
      <c r="AP533" s="139"/>
      <c r="AQ533" s="139"/>
      <c r="AR533" s="139"/>
      <c r="AS533" s="139"/>
      <c r="AT533" s="139"/>
      <c r="AU533" s="139"/>
      <c r="AV533" s="140"/>
    </row>
    <row r="534" spans="1:48" ht="15.75" customHeight="1" x14ac:dyDescent="0.2">
      <c r="A534" s="27"/>
      <c r="B534" s="136"/>
      <c r="C534" s="141"/>
      <c r="D534" s="138"/>
      <c r="E534" s="139"/>
      <c r="F534" s="139"/>
      <c r="G534" s="139"/>
      <c r="H534" s="139"/>
      <c r="I534" s="139"/>
      <c r="J534" s="139"/>
      <c r="K534" s="139"/>
      <c r="L534" s="139"/>
      <c r="M534" s="139"/>
      <c r="N534" s="139"/>
      <c r="O534" s="139"/>
      <c r="P534" s="139"/>
      <c r="Q534" s="139"/>
      <c r="R534" s="139"/>
      <c r="S534" s="139"/>
      <c r="T534" s="139"/>
      <c r="U534" s="139"/>
      <c r="V534" s="139"/>
      <c r="W534" s="139"/>
      <c r="X534" s="139"/>
      <c r="Y534" s="139"/>
      <c r="Z534" s="139"/>
      <c r="AA534" s="139"/>
      <c r="AB534" s="139"/>
      <c r="AC534" s="139"/>
      <c r="AD534" s="139"/>
      <c r="AE534" s="139"/>
      <c r="AF534" s="139"/>
      <c r="AG534" s="139"/>
      <c r="AH534" s="139"/>
      <c r="AI534" s="139"/>
      <c r="AJ534" s="139"/>
      <c r="AK534" s="139"/>
      <c r="AL534" s="139"/>
      <c r="AM534" s="139"/>
      <c r="AN534" s="139"/>
      <c r="AO534" s="139"/>
      <c r="AP534" s="139"/>
      <c r="AQ534" s="139"/>
      <c r="AR534" s="139"/>
      <c r="AS534" s="139"/>
      <c r="AT534" s="139"/>
      <c r="AU534" s="139"/>
      <c r="AV534" s="140"/>
    </row>
    <row r="535" spans="1:48" ht="15.75" customHeight="1" x14ac:dyDescent="0.2">
      <c r="A535" s="27"/>
      <c r="B535" s="136"/>
      <c r="C535" s="141"/>
      <c r="D535" s="138"/>
      <c r="E535" s="139"/>
      <c r="F535" s="139"/>
      <c r="G535" s="139"/>
      <c r="H535" s="139"/>
      <c r="I535" s="139"/>
      <c r="J535" s="139"/>
      <c r="K535" s="139"/>
      <c r="L535" s="139"/>
      <c r="M535" s="139"/>
      <c r="N535" s="139"/>
      <c r="O535" s="139"/>
      <c r="P535" s="139"/>
      <c r="Q535" s="139"/>
      <c r="R535" s="139"/>
      <c r="S535" s="139"/>
      <c r="T535" s="139"/>
      <c r="U535" s="139"/>
      <c r="V535" s="139"/>
      <c r="W535" s="139"/>
      <c r="X535" s="139"/>
      <c r="Y535" s="139"/>
      <c r="Z535" s="139"/>
      <c r="AA535" s="139"/>
      <c r="AB535" s="139"/>
      <c r="AC535" s="139"/>
      <c r="AD535" s="139"/>
      <c r="AE535" s="139"/>
      <c r="AF535" s="139"/>
      <c r="AG535" s="139"/>
      <c r="AH535" s="139"/>
      <c r="AI535" s="139"/>
      <c r="AJ535" s="139"/>
      <c r="AK535" s="139"/>
      <c r="AL535" s="139"/>
      <c r="AM535" s="139"/>
      <c r="AN535" s="139"/>
      <c r="AO535" s="139"/>
      <c r="AP535" s="139"/>
      <c r="AQ535" s="139"/>
      <c r="AR535" s="139"/>
      <c r="AS535" s="139"/>
      <c r="AT535" s="139"/>
      <c r="AU535" s="139"/>
      <c r="AV535" s="140"/>
    </row>
    <row r="536" spans="1:48" ht="15.75" customHeight="1" x14ac:dyDescent="0.2">
      <c r="A536" s="27"/>
      <c r="B536" s="136"/>
      <c r="C536" s="141"/>
      <c r="D536" s="138"/>
      <c r="E536" s="139"/>
      <c r="F536" s="139"/>
      <c r="G536" s="139"/>
      <c r="H536" s="139"/>
      <c r="I536" s="139"/>
      <c r="J536" s="139"/>
      <c r="K536" s="139"/>
      <c r="L536" s="139"/>
      <c r="M536" s="139"/>
      <c r="N536" s="139"/>
      <c r="O536" s="139"/>
      <c r="P536" s="139"/>
      <c r="Q536" s="139"/>
      <c r="R536" s="139"/>
      <c r="S536" s="139"/>
      <c r="T536" s="139"/>
      <c r="U536" s="139"/>
      <c r="V536" s="139"/>
      <c r="W536" s="139"/>
      <c r="X536" s="139"/>
      <c r="Y536" s="139"/>
      <c r="Z536" s="139"/>
      <c r="AA536" s="139"/>
      <c r="AB536" s="139"/>
      <c r="AC536" s="139"/>
      <c r="AD536" s="139"/>
      <c r="AE536" s="139"/>
      <c r="AF536" s="139"/>
      <c r="AG536" s="139"/>
      <c r="AH536" s="139"/>
      <c r="AI536" s="139"/>
      <c r="AJ536" s="139"/>
      <c r="AK536" s="139"/>
      <c r="AL536" s="139"/>
      <c r="AM536" s="139"/>
      <c r="AN536" s="139"/>
      <c r="AO536" s="139"/>
      <c r="AP536" s="139"/>
      <c r="AQ536" s="139"/>
      <c r="AR536" s="139"/>
      <c r="AS536" s="139"/>
      <c r="AT536" s="139"/>
      <c r="AU536" s="139"/>
      <c r="AV536" s="140"/>
    </row>
    <row r="537" spans="1:48" ht="15.75" customHeight="1" x14ac:dyDescent="0.2">
      <c r="A537" s="27"/>
      <c r="B537" s="136"/>
      <c r="C537" s="141"/>
      <c r="D537" s="138"/>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c r="AA537" s="139"/>
      <c r="AB537" s="139"/>
      <c r="AC537" s="139"/>
      <c r="AD537" s="139"/>
      <c r="AE537" s="139"/>
      <c r="AF537" s="139"/>
      <c r="AG537" s="139"/>
      <c r="AH537" s="139"/>
      <c r="AI537" s="139"/>
      <c r="AJ537" s="139"/>
      <c r="AK537" s="139"/>
      <c r="AL537" s="139"/>
      <c r="AM537" s="139"/>
      <c r="AN537" s="139"/>
      <c r="AO537" s="139"/>
      <c r="AP537" s="139"/>
      <c r="AQ537" s="139"/>
      <c r="AR537" s="139"/>
      <c r="AS537" s="139"/>
      <c r="AT537" s="139"/>
      <c r="AU537" s="139"/>
      <c r="AV537" s="140"/>
    </row>
    <row r="538" spans="1:48" ht="15.75" customHeight="1" x14ac:dyDescent="0.2">
      <c r="A538" s="27"/>
      <c r="B538" s="136"/>
      <c r="C538" s="141"/>
      <c r="D538" s="138"/>
      <c r="E538" s="139"/>
      <c r="F538" s="139"/>
      <c r="G538" s="139"/>
      <c r="H538" s="139"/>
      <c r="I538" s="139"/>
      <c r="J538" s="139"/>
      <c r="K538" s="139"/>
      <c r="L538" s="139"/>
      <c r="M538" s="139"/>
      <c r="N538" s="139"/>
      <c r="O538" s="139"/>
      <c r="P538" s="139"/>
      <c r="Q538" s="139"/>
      <c r="R538" s="139"/>
      <c r="S538" s="139"/>
      <c r="T538" s="139"/>
      <c r="U538" s="139"/>
      <c r="V538" s="139"/>
      <c r="W538" s="139"/>
      <c r="X538" s="139"/>
      <c r="Y538" s="139"/>
      <c r="Z538" s="139"/>
      <c r="AA538" s="139"/>
      <c r="AB538" s="139"/>
      <c r="AC538" s="139"/>
      <c r="AD538" s="139"/>
      <c r="AE538" s="139"/>
      <c r="AF538" s="139"/>
      <c r="AG538" s="139"/>
      <c r="AH538" s="139"/>
      <c r="AI538" s="139"/>
      <c r="AJ538" s="139"/>
      <c r="AK538" s="139"/>
      <c r="AL538" s="139"/>
      <c r="AM538" s="139"/>
      <c r="AN538" s="139"/>
      <c r="AO538" s="139"/>
      <c r="AP538" s="139"/>
      <c r="AQ538" s="139"/>
      <c r="AR538" s="139"/>
      <c r="AS538" s="139"/>
      <c r="AT538" s="139"/>
      <c r="AU538" s="139"/>
      <c r="AV538" s="140"/>
    </row>
    <row r="539" spans="1:48" ht="15.75" customHeight="1" x14ac:dyDescent="0.2">
      <c r="A539" s="27"/>
      <c r="B539" s="136"/>
      <c r="C539" s="141"/>
      <c r="D539" s="138"/>
      <c r="E539" s="139"/>
      <c r="F539" s="139"/>
      <c r="G539" s="139"/>
      <c r="H539" s="139"/>
      <c r="I539" s="139"/>
      <c r="J539" s="139"/>
      <c r="K539" s="139"/>
      <c r="L539" s="139"/>
      <c r="M539" s="139"/>
      <c r="N539" s="139"/>
      <c r="O539" s="139"/>
      <c r="P539" s="139"/>
      <c r="Q539" s="139"/>
      <c r="R539" s="139"/>
      <c r="S539" s="139"/>
      <c r="T539" s="139"/>
      <c r="U539" s="139"/>
      <c r="V539" s="139"/>
      <c r="W539" s="139"/>
      <c r="X539" s="139"/>
      <c r="Y539" s="139"/>
      <c r="Z539" s="139"/>
      <c r="AA539" s="139"/>
      <c r="AB539" s="139"/>
      <c r="AC539" s="139"/>
      <c r="AD539" s="139"/>
      <c r="AE539" s="139"/>
      <c r="AF539" s="139"/>
      <c r="AG539" s="139"/>
      <c r="AH539" s="139"/>
      <c r="AI539" s="139"/>
      <c r="AJ539" s="139"/>
      <c r="AK539" s="139"/>
      <c r="AL539" s="139"/>
      <c r="AM539" s="139"/>
      <c r="AN539" s="139"/>
      <c r="AO539" s="139"/>
      <c r="AP539" s="139"/>
      <c r="AQ539" s="139"/>
      <c r="AR539" s="139"/>
      <c r="AS539" s="139"/>
      <c r="AT539" s="139"/>
      <c r="AU539" s="139"/>
      <c r="AV539" s="140"/>
    </row>
    <row r="540" spans="1:48" ht="15.75" customHeight="1" x14ac:dyDescent="0.2">
      <c r="A540" s="27"/>
      <c r="B540" s="136"/>
      <c r="C540" s="141"/>
      <c r="D540" s="138"/>
      <c r="E540" s="139"/>
      <c r="F540" s="139"/>
      <c r="G540" s="139"/>
      <c r="H540" s="139"/>
      <c r="I540" s="139"/>
      <c r="J540" s="139"/>
      <c r="K540" s="139"/>
      <c r="L540" s="139"/>
      <c r="M540" s="139"/>
      <c r="N540" s="139"/>
      <c r="O540" s="139"/>
      <c r="P540" s="139"/>
      <c r="Q540" s="139"/>
      <c r="R540" s="139"/>
      <c r="S540" s="139"/>
      <c r="T540" s="139"/>
      <c r="U540" s="139"/>
      <c r="V540" s="139"/>
      <c r="W540" s="139"/>
      <c r="X540" s="139"/>
      <c r="Y540" s="139"/>
      <c r="Z540" s="139"/>
      <c r="AA540" s="139"/>
      <c r="AB540" s="139"/>
      <c r="AC540" s="139"/>
      <c r="AD540" s="139"/>
      <c r="AE540" s="139"/>
      <c r="AF540" s="139"/>
      <c r="AG540" s="139"/>
      <c r="AH540" s="139"/>
      <c r="AI540" s="139"/>
      <c r="AJ540" s="139"/>
      <c r="AK540" s="139"/>
      <c r="AL540" s="139"/>
      <c r="AM540" s="139"/>
      <c r="AN540" s="139"/>
      <c r="AO540" s="139"/>
      <c r="AP540" s="139"/>
      <c r="AQ540" s="139"/>
      <c r="AR540" s="139"/>
      <c r="AS540" s="139"/>
      <c r="AT540" s="139"/>
      <c r="AU540" s="139"/>
      <c r="AV540" s="140"/>
    </row>
    <row r="541" spans="1:48" ht="15.75" customHeight="1" x14ac:dyDescent="0.2">
      <c r="A541" s="27"/>
      <c r="B541" s="136"/>
      <c r="C541" s="141"/>
      <c r="D541" s="138"/>
      <c r="E541" s="139"/>
      <c r="F541" s="139"/>
      <c r="G541" s="139"/>
      <c r="H541" s="139"/>
      <c r="I541" s="139"/>
      <c r="J541" s="139"/>
      <c r="K541" s="139"/>
      <c r="L541" s="139"/>
      <c r="M541" s="139"/>
      <c r="N541" s="139"/>
      <c r="O541" s="139"/>
      <c r="P541" s="139"/>
      <c r="Q541" s="139"/>
      <c r="R541" s="139"/>
      <c r="S541" s="139"/>
      <c r="T541" s="139"/>
      <c r="U541" s="139"/>
      <c r="V541" s="139"/>
      <c r="W541" s="139"/>
      <c r="X541" s="139"/>
      <c r="Y541" s="139"/>
      <c r="Z541" s="139"/>
      <c r="AA541" s="139"/>
      <c r="AB541" s="139"/>
      <c r="AC541" s="139"/>
      <c r="AD541" s="139"/>
      <c r="AE541" s="139"/>
      <c r="AF541" s="139"/>
      <c r="AG541" s="139"/>
      <c r="AH541" s="139"/>
      <c r="AI541" s="139"/>
      <c r="AJ541" s="139"/>
      <c r="AK541" s="139"/>
      <c r="AL541" s="139"/>
      <c r="AM541" s="139"/>
      <c r="AN541" s="139"/>
      <c r="AO541" s="139"/>
      <c r="AP541" s="139"/>
      <c r="AQ541" s="139"/>
      <c r="AR541" s="139"/>
      <c r="AS541" s="139"/>
      <c r="AT541" s="139"/>
      <c r="AU541" s="139"/>
      <c r="AV541" s="140"/>
    </row>
    <row r="542" spans="1:48" ht="15.75" customHeight="1" x14ac:dyDescent="0.2">
      <c r="A542" s="27"/>
      <c r="B542" s="136"/>
      <c r="C542" s="141"/>
      <c r="D542" s="138"/>
      <c r="E542" s="139"/>
      <c r="F542" s="139"/>
      <c r="G542" s="139"/>
      <c r="H542" s="139"/>
      <c r="I542" s="139"/>
      <c r="J542" s="139"/>
      <c r="K542" s="139"/>
      <c r="L542" s="139"/>
      <c r="M542" s="139"/>
      <c r="N542" s="139"/>
      <c r="O542" s="139"/>
      <c r="P542" s="139"/>
      <c r="Q542" s="139"/>
      <c r="R542" s="139"/>
      <c r="S542" s="139"/>
      <c r="T542" s="139"/>
      <c r="U542" s="139"/>
      <c r="V542" s="139"/>
      <c r="W542" s="139"/>
      <c r="X542" s="139"/>
      <c r="Y542" s="139"/>
      <c r="Z542" s="139"/>
      <c r="AA542" s="139"/>
      <c r="AB542" s="139"/>
      <c r="AC542" s="139"/>
      <c r="AD542" s="139"/>
      <c r="AE542" s="139"/>
      <c r="AF542" s="139"/>
      <c r="AG542" s="139"/>
      <c r="AH542" s="139"/>
      <c r="AI542" s="139"/>
      <c r="AJ542" s="139"/>
      <c r="AK542" s="139"/>
      <c r="AL542" s="139"/>
      <c r="AM542" s="139"/>
      <c r="AN542" s="139"/>
      <c r="AO542" s="139"/>
      <c r="AP542" s="139"/>
      <c r="AQ542" s="139"/>
      <c r="AR542" s="139"/>
      <c r="AS542" s="139"/>
      <c r="AT542" s="139"/>
      <c r="AU542" s="139"/>
      <c r="AV542" s="140"/>
    </row>
    <row r="543" spans="1:48" ht="15.75" customHeight="1" x14ac:dyDescent="0.2">
      <c r="A543" s="27"/>
      <c r="B543" s="136"/>
      <c r="C543" s="141"/>
      <c r="D543" s="138"/>
      <c r="E543" s="139"/>
      <c r="F543" s="139"/>
      <c r="G543" s="139"/>
      <c r="H543" s="139"/>
      <c r="I543" s="139"/>
      <c r="J543" s="139"/>
      <c r="K543" s="139"/>
      <c r="L543" s="139"/>
      <c r="M543" s="139"/>
      <c r="N543" s="139"/>
      <c r="O543" s="139"/>
      <c r="P543" s="139"/>
      <c r="Q543" s="139"/>
      <c r="R543" s="139"/>
      <c r="S543" s="139"/>
      <c r="T543" s="139"/>
      <c r="U543" s="139"/>
      <c r="V543" s="139"/>
      <c r="W543" s="139"/>
      <c r="X543" s="139"/>
      <c r="Y543" s="139"/>
      <c r="Z543" s="139"/>
      <c r="AA543" s="139"/>
      <c r="AB543" s="139"/>
      <c r="AC543" s="139"/>
      <c r="AD543" s="139"/>
      <c r="AE543" s="139"/>
      <c r="AF543" s="139"/>
      <c r="AG543" s="139"/>
      <c r="AH543" s="139"/>
      <c r="AI543" s="139"/>
      <c r="AJ543" s="139"/>
      <c r="AK543" s="139"/>
      <c r="AL543" s="139"/>
      <c r="AM543" s="139"/>
      <c r="AN543" s="139"/>
      <c r="AO543" s="139"/>
      <c r="AP543" s="139"/>
      <c r="AQ543" s="139"/>
      <c r="AR543" s="139"/>
      <c r="AS543" s="139"/>
      <c r="AT543" s="139"/>
      <c r="AU543" s="139"/>
      <c r="AV543" s="140"/>
    </row>
    <row r="544" spans="1:48" ht="15.75" customHeight="1" x14ac:dyDescent="0.2">
      <c r="A544" s="27"/>
      <c r="B544" s="136"/>
      <c r="C544" s="141"/>
      <c r="D544" s="138"/>
      <c r="E544" s="139"/>
      <c r="F544" s="139"/>
      <c r="G544" s="139"/>
      <c r="H544" s="139"/>
      <c r="I544" s="139"/>
      <c r="J544" s="139"/>
      <c r="K544" s="139"/>
      <c r="L544" s="139"/>
      <c r="M544" s="139"/>
      <c r="N544" s="139"/>
      <c r="O544" s="139"/>
      <c r="P544" s="139"/>
      <c r="Q544" s="139"/>
      <c r="R544" s="139"/>
      <c r="S544" s="139"/>
      <c r="T544" s="139"/>
      <c r="U544" s="139"/>
      <c r="V544" s="139"/>
      <c r="W544" s="139"/>
      <c r="X544" s="139"/>
      <c r="Y544" s="139"/>
      <c r="Z544" s="139"/>
      <c r="AA544" s="139"/>
      <c r="AB544" s="139"/>
      <c r="AC544" s="139"/>
      <c r="AD544" s="139"/>
      <c r="AE544" s="139"/>
      <c r="AF544" s="139"/>
      <c r="AG544" s="139"/>
      <c r="AH544" s="139"/>
      <c r="AI544" s="139"/>
      <c r="AJ544" s="139"/>
      <c r="AK544" s="139"/>
      <c r="AL544" s="139"/>
      <c r="AM544" s="139"/>
      <c r="AN544" s="139"/>
      <c r="AO544" s="139"/>
      <c r="AP544" s="139"/>
      <c r="AQ544" s="139"/>
      <c r="AR544" s="139"/>
      <c r="AS544" s="139"/>
      <c r="AT544" s="139"/>
      <c r="AU544" s="139"/>
    </row>
    <row r="545" spans="1:47" ht="15.75" customHeight="1" x14ac:dyDescent="0.2">
      <c r="A545" s="27"/>
      <c r="B545" s="136"/>
      <c r="C545" s="141"/>
      <c r="D545" s="138"/>
      <c r="E545" s="139"/>
      <c r="F545" s="139"/>
      <c r="G545" s="139"/>
      <c r="H545" s="139"/>
      <c r="I545" s="139"/>
      <c r="J545" s="139"/>
      <c r="K545" s="139"/>
      <c r="L545" s="139"/>
      <c r="M545" s="139"/>
      <c r="N545" s="139"/>
      <c r="O545" s="139"/>
      <c r="P545" s="139"/>
      <c r="Q545" s="139"/>
      <c r="R545" s="139"/>
      <c r="S545" s="139"/>
      <c r="T545" s="139"/>
      <c r="U545" s="139"/>
      <c r="V545" s="139"/>
      <c r="W545" s="139"/>
      <c r="X545" s="139"/>
      <c r="Y545" s="139"/>
      <c r="Z545" s="139"/>
      <c r="AA545" s="139"/>
      <c r="AB545" s="139"/>
      <c r="AC545" s="139"/>
      <c r="AD545" s="139"/>
      <c r="AE545" s="139"/>
      <c r="AF545" s="139"/>
      <c r="AG545" s="139"/>
      <c r="AH545" s="139"/>
      <c r="AI545" s="139"/>
      <c r="AJ545" s="139"/>
      <c r="AK545" s="139"/>
      <c r="AL545" s="139"/>
      <c r="AM545" s="139"/>
      <c r="AN545" s="139"/>
      <c r="AO545" s="139"/>
      <c r="AP545" s="139"/>
      <c r="AQ545" s="139"/>
      <c r="AR545" s="139"/>
      <c r="AS545" s="139"/>
      <c r="AT545" s="139"/>
      <c r="AU545" s="139"/>
    </row>
    <row r="546" spans="1:47" ht="15.75" customHeight="1" x14ac:dyDescent="0.2">
      <c r="A546" s="27"/>
      <c r="B546" s="136"/>
      <c r="C546" s="141"/>
      <c r="D546" s="138"/>
      <c r="E546" s="139"/>
      <c r="F546" s="139"/>
      <c r="G546" s="139"/>
      <c r="H546" s="139"/>
      <c r="I546" s="139"/>
      <c r="J546" s="139"/>
      <c r="K546" s="139"/>
      <c r="L546" s="139"/>
      <c r="M546" s="139"/>
      <c r="N546" s="139"/>
      <c r="O546" s="139"/>
      <c r="P546" s="139"/>
      <c r="Q546" s="139"/>
      <c r="R546" s="139"/>
      <c r="S546" s="139"/>
      <c r="T546" s="139"/>
      <c r="U546" s="139"/>
      <c r="V546" s="139"/>
      <c r="W546" s="139"/>
      <c r="X546" s="139"/>
      <c r="Y546" s="139"/>
      <c r="Z546" s="139"/>
      <c r="AA546" s="139"/>
      <c r="AB546" s="139"/>
      <c r="AC546" s="139"/>
      <c r="AD546" s="139"/>
      <c r="AE546" s="139"/>
      <c r="AF546" s="139"/>
      <c r="AG546" s="139"/>
      <c r="AH546" s="139"/>
      <c r="AI546" s="139"/>
      <c r="AJ546" s="139"/>
      <c r="AK546" s="139"/>
      <c r="AL546" s="139"/>
      <c r="AM546" s="139"/>
      <c r="AN546" s="139"/>
      <c r="AO546" s="139"/>
      <c r="AP546" s="139"/>
      <c r="AQ546" s="139"/>
      <c r="AR546" s="139"/>
      <c r="AS546" s="139"/>
      <c r="AT546" s="139"/>
      <c r="AU546" s="139"/>
    </row>
    <row r="547" spans="1:47" ht="15.75" customHeight="1" x14ac:dyDescent="0.2">
      <c r="A547" s="27"/>
      <c r="B547" s="136"/>
      <c r="C547" s="141"/>
      <c r="D547" s="138"/>
      <c r="E547" s="139"/>
      <c r="F547" s="139"/>
      <c r="G547" s="139"/>
      <c r="H547" s="139"/>
      <c r="I547" s="139"/>
      <c r="J547" s="139"/>
      <c r="K547" s="139"/>
      <c r="L547" s="139"/>
      <c r="M547" s="139"/>
      <c r="N547" s="139"/>
      <c r="O547" s="139"/>
      <c r="P547" s="139"/>
      <c r="Q547" s="139"/>
      <c r="R547" s="139"/>
      <c r="S547" s="139"/>
      <c r="T547" s="139"/>
      <c r="U547" s="139"/>
      <c r="V547" s="139"/>
      <c r="W547" s="139"/>
      <c r="X547" s="139"/>
      <c r="Y547" s="139"/>
      <c r="Z547" s="139"/>
      <c r="AA547" s="139"/>
      <c r="AB547" s="139"/>
      <c r="AC547" s="139"/>
      <c r="AD547" s="139"/>
      <c r="AE547" s="139"/>
      <c r="AF547" s="139"/>
      <c r="AG547" s="139"/>
      <c r="AH547" s="139"/>
      <c r="AI547" s="139"/>
      <c r="AJ547" s="139"/>
      <c r="AK547" s="139"/>
      <c r="AL547" s="139"/>
      <c r="AM547" s="139"/>
      <c r="AN547" s="139"/>
      <c r="AO547" s="139"/>
      <c r="AP547" s="139"/>
      <c r="AQ547" s="139"/>
      <c r="AR547" s="139"/>
      <c r="AS547" s="139"/>
      <c r="AT547" s="139"/>
      <c r="AU547" s="139"/>
    </row>
    <row r="548" spans="1:47" ht="15.75" customHeight="1" x14ac:dyDescent="0.2">
      <c r="A548" s="27"/>
      <c r="B548" s="136"/>
      <c r="C548" s="141"/>
      <c r="D548" s="138"/>
      <c r="E548" s="139"/>
      <c r="F548" s="139"/>
      <c r="G548" s="139"/>
      <c r="H548" s="139"/>
      <c r="I548" s="139"/>
      <c r="J548" s="139"/>
      <c r="K548" s="139"/>
      <c r="L548" s="139"/>
      <c r="M548" s="139"/>
      <c r="N548" s="139"/>
      <c r="O548" s="139"/>
      <c r="P548" s="139"/>
      <c r="Q548" s="139"/>
      <c r="R548" s="139"/>
      <c r="S548" s="139"/>
      <c r="T548" s="139"/>
      <c r="U548" s="139"/>
      <c r="V548" s="139"/>
      <c r="W548" s="139"/>
      <c r="X548" s="139"/>
      <c r="Y548" s="139"/>
      <c r="Z548" s="139"/>
      <c r="AA548" s="139"/>
      <c r="AB548" s="139"/>
      <c r="AC548" s="139"/>
      <c r="AD548" s="139"/>
      <c r="AE548" s="139"/>
      <c r="AF548" s="139"/>
      <c r="AG548" s="139"/>
      <c r="AH548" s="139"/>
      <c r="AI548" s="139"/>
      <c r="AJ548" s="139"/>
      <c r="AK548" s="139"/>
      <c r="AL548" s="139"/>
      <c r="AM548" s="139"/>
      <c r="AN548" s="139"/>
      <c r="AO548" s="139"/>
      <c r="AP548" s="139"/>
      <c r="AQ548" s="139"/>
      <c r="AR548" s="139"/>
      <c r="AS548" s="139"/>
      <c r="AT548" s="139"/>
      <c r="AU548" s="139"/>
    </row>
    <row r="549" spans="1:47" ht="15.75" customHeight="1" x14ac:dyDescent="0.2">
      <c r="A549" s="27"/>
      <c r="B549" s="136"/>
      <c r="C549" s="141"/>
      <c r="D549" s="138"/>
      <c r="E549" s="139"/>
      <c r="F549" s="139"/>
      <c r="G549" s="139"/>
      <c r="H549" s="139"/>
      <c r="I549" s="139"/>
      <c r="J549" s="139"/>
      <c r="K549" s="139"/>
      <c r="L549" s="139"/>
      <c r="M549" s="139"/>
      <c r="N549" s="139"/>
      <c r="O549" s="139"/>
      <c r="P549" s="139"/>
      <c r="Q549" s="139"/>
      <c r="R549" s="139"/>
      <c r="S549" s="139"/>
      <c r="T549" s="139"/>
      <c r="U549" s="139"/>
      <c r="V549" s="139"/>
      <c r="W549" s="139"/>
      <c r="X549" s="139"/>
      <c r="Y549" s="139"/>
      <c r="Z549" s="139"/>
      <c r="AA549" s="139"/>
      <c r="AB549" s="139"/>
      <c r="AC549" s="139"/>
      <c r="AD549" s="139"/>
      <c r="AE549" s="139"/>
      <c r="AF549" s="139"/>
      <c r="AG549" s="139"/>
      <c r="AH549" s="139"/>
      <c r="AI549" s="139"/>
      <c r="AJ549" s="139"/>
      <c r="AK549" s="139"/>
      <c r="AL549" s="139"/>
      <c r="AM549" s="139"/>
      <c r="AN549" s="139"/>
      <c r="AO549" s="139"/>
      <c r="AP549" s="139"/>
      <c r="AQ549" s="139"/>
      <c r="AR549" s="139"/>
      <c r="AS549" s="139"/>
      <c r="AT549" s="139"/>
      <c r="AU549" s="139"/>
    </row>
    <row r="550" spans="1:47" ht="15.75" customHeight="1" x14ac:dyDescent="0.2">
      <c r="A550" s="27"/>
      <c r="B550" s="136"/>
      <c r="C550" s="141"/>
      <c r="D550" s="138"/>
      <c r="E550" s="139"/>
      <c r="F550" s="139"/>
      <c r="G550" s="139"/>
      <c r="H550" s="139"/>
      <c r="I550" s="139"/>
      <c r="J550" s="139"/>
      <c r="K550" s="139"/>
      <c r="L550" s="139"/>
      <c r="M550" s="139"/>
      <c r="N550" s="139"/>
      <c r="O550" s="139"/>
      <c r="P550" s="139"/>
      <c r="Q550" s="139"/>
      <c r="R550" s="139"/>
      <c r="S550" s="139"/>
      <c r="T550" s="139"/>
      <c r="U550" s="139"/>
      <c r="V550" s="139"/>
      <c r="W550" s="139"/>
      <c r="X550" s="139"/>
      <c r="Y550" s="139"/>
      <c r="Z550" s="139"/>
      <c r="AA550" s="139"/>
      <c r="AB550" s="139"/>
      <c r="AC550" s="139"/>
      <c r="AD550" s="139"/>
      <c r="AE550" s="139"/>
      <c r="AF550" s="139"/>
      <c r="AG550" s="139"/>
      <c r="AH550" s="139"/>
      <c r="AI550" s="139"/>
      <c r="AJ550" s="139"/>
      <c r="AK550" s="139"/>
      <c r="AL550" s="139"/>
      <c r="AM550" s="139"/>
      <c r="AN550" s="139"/>
      <c r="AO550" s="139"/>
      <c r="AP550" s="139"/>
      <c r="AQ550" s="139"/>
      <c r="AR550" s="139"/>
      <c r="AS550" s="139"/>
      <c r="AT550" s="139"/>
      <c r="AU550" s="139"/>
    </row>
    <row r="551" spans="1:47" ht="15.75" customHeight="1" x14ac:dyDescent="0.2">
      <c r="A551" s="27"/>
      <c r="B551" s="136"/>
      <c r="C551" s="141"/>
      <c r="D551" s="138"/>
      <c r="E551" s="139"/>
      <c r="F551" s="139"/>
      <c r="G551" s="139"/>
      <c r="H551" s="139"/>
      <c r="I551" s="139"/>
      <c r="J551" s="139"/>
      <c r="K551" s="139"/>
      <c r="L551" s="139"/>
      <c r="M551" s="139"/>
      <c r="N551" s="139"/>
      <c r="O551" s="139"/>
      <c r="P551" s="139"/>
      <c r="Q551" s="139"/>
      <c r="R551" s="139"/>
      <c r="S551" s="139"/>
      <c r="T551" s="139"/>
      <c r="U551" s="139"/>
      <c r="V551" s="139"/>
      <c r="W551" s="139"/>
      <c r="X551" s="139"/>
      <c r="Y551" s="139"/>
      <c r="Z551" s="139"/>
      <c r="AA551" s="139"/>
      <c r="AB551" s="139"/>
      <c r="AC551" s="139"/>
      <c r="AD551" s="139"/>
      <c r="AE551" s="139"/>
      <c r="AF551" s="139"/>
      <c r="AG551" s="139"/>
      <c r="AH551" s="139"/>
      <c r="AI551" s="139"/>
      <c r="AJ551" s="139"/>
      <c r="AK551" s="139"/>
      <c r="AL551" s="139"/>
      <c r="AM551" s="139"/>
      <c r="AN551" s="139"/>
      <c r="AO551" s="139"/>
      <c r="AP551" s="139"/>
      <c r="AQ551" s="139"/>
      <c r="AR551" s="139"/>
      <c r="AS551" s="139"/>
      <c r="AT551" s="139"/>
      <c r="AU551" s="139"/>
    </row>
    <row r="552" spans="1:47" ht="15.75" customHeight="1" x14ac:dyDescent="0.2">
      <c r="A552" s="27"/>
      <c r="B552" s="136"/>
      <c r="C552" s="141"/>
      <c r="D552" s="138"/>
      <c r="E552" s="139"/>
      <c r="F552" s="139"/>
      <c r="G552" s="139"/>
      <c r="H552" s="139"/>
      <c r="I552" s="139"/>
      <c r="J552" s="139"/>
      <c r="K552" s="139"/>
      <c r="L552" s="139"/>
      <c r="M552" s="139"/>
      <c r="N552" s="139"/>
      <c r="O552" s="139"/>
      <c r="P552" s="139"/>
      <c r="Q552" s="139"/>
      <c r="R552" s="139"/>
      <c r="S552" s="139"/>
      <c r="T552" s="139"/>
      <c r="U552" s="139"/>
      <c r="V552" s="139"/>
      <c r="W552" s="139"/>
      <c r="X552" s="139"/>
      <c r="Y552" s="139"/>
      <c r="Z552" s="139"/>
      <c r="AA552" s="139"/>
      <c r="AB552" s="139"/>
      <c r="AC552" s="139"/>
      <c r="AD552" s="139"/>
      <c r="AE552" s="139"/>
      <c r="AF552" s="139"/>
      <c r="AG552" s="139"/>
      <c r="AH552" s="139"/>
      <c r="AI552" s="139"/>
      <c r="AJ552" s="139"/>
      <c r="AK552" s="139"/>
      <c r="AL552" s="139"/>
      <c r="AM552" s="139"/>
      <c r="AN552" s="139"/>
      <c r="AO552" s="139"/>
      <c r="AP552" s="139"/>
      <c r="AQ552" s="139"/>
      <c r="AR552" s="139"/>
      <c r="AS552" s="139"/>
      <c r="AT552" s="139"/>
      <c r="AU552" s="139"/>
    </row>
    <row r="553" spans="1:47" ht="15.75" customHeight="1" x14ac:dyDescent="0.2">
      <c r="A553" s="27"/>
      <c r="B553" s="136"/>
      <c r="C553" s="141"/>
      <c r="D553" s="138"/>
      <c r="E553" s="139"/>
      <c r="F553" s="139"/>
      <c r="G553" s="139"/>
      <c r="H553" s="139"/>
      <c r="I553" s="139"/>
      <c r="J553" s="139"/>
      <c r="K553" s="139"/>
      <c r="L553" s="139"/>
      <c r="M553" s="139"/>
      <c r="N553" s="139"/>
      <c r="O553" s="139"/>
      <c r="P553" s="139"/>
      <c r="Q553" s="139"/>
      <c r="R553" s="139"/>
      <c r="S553" s="139"/>
      <c r="T553" s="139"/>
      <c r="U553" s="139"/>
      <c r="V553" s="139"/>
      <c r="W553" s="139"/>
      <c r="X553" s="139"/>
      <c r="Y553" s="139"/>
      <c r="Z553" s="139"/>
      <c r="AA553" s="139"/>
      <c r="AB553" s="139"/>
      <c r="AC553" s="139"/>
      <c r="AD553" s="139"/>
      <c r="AE553" s="139"/>
      <c r="AF553" s="139"/>
      <c r="AG553" s="139"/>
      <c r="AH553" s="139"/>
      <c r="AI553" s="139"/>
      <c r="AJ553" s="139"/>
      <c r="AK553" s="139"/>
      <c r="AL553" s="139"/>
      <c r="AM553" s="139"/>
      <c r="AN553" s="139"/>
      <c r="AO553" s="139"/>
      <c r="AP553" s="139"/>
      <c r="AQ553" s="139"/>
      <c r="AR553" s="139"/>
      <c r="AS553" s="139"/>
      <c r="AT553" s="139"/>
      <c r="AU553" s="139"/>
    </row>
    <row r="554" spans="1:47" ht="15.75" customHeight="1" x14ac:dyDescent="0.2">
      <c r="A554" s="27"/>
      <c r="B554" s="136"/>
      <c r="C554" s="141"/>
      <c r="D554" s="138"/>
      <c r="E554" s="139"/>
      <c r="F554" s="139"/>
      <c r="G554" s="139"/>
      <c r="H554" s="139"/>
      <c r="I554" s="139"/>
      <c r="J554" s="139"/>
      <c r="K554" s="139"/>
      <c r="L554" s="139"/>
      <c r="M554" s="139"/>
      <c r="N554" s="139"/>
      <c r="O554" s="139"/>
      <c r="P554" s="139"/>
      <c r="Q554" s="139"/>
      <c r="R554" s="139"/>
      <c r="S554" s="139"/>
      <c r="T554" s="139"/>
      <c r="U554" s="139"/>
      <c r="V554" s="139"/>
      <c r="W554" s="139"/>
      <c r="X554" s="139"/>
      <c r="Y554" s="139"/>
      <c r="Z554" s="139"/>
      <c r="AA554" s="139"/>
      <c r="AB554" s="139"/>
      <c r="AC554" s="139"/>
      <c r="AD554" s="139"/>
      <c r="AE554" s="139"/>
      <c r="AF554" s="139"/>
      <c r="AG554" s="139"/>
      <c r="AH554" s="139"/>
      <c r="AI554" s="139"/>
      <c r="AJ554" s="139"/>
      <c r="AK554" s="139"/>
      <c r="AL554" s="139"/>
      <c r="AM554" s="139"/>
      <c r="AN554" s="139"/>
      <c r="AO554" s="139"/>
      <c r="AP554" s="139"/>
      <c r="AQ554" s="139"/>
      <c r="AR554" s="139"/>
      <c r="AS554" s="139"/>
      <c r="AT554" s="139"/>
      <c r="AU554" s="139"/>
    </row>
    <row r="555" spans="1:47" ht="15.75" customHeight="1" x14ac:dyDescent="0.2">
      <c r="A555" s="27"/>
      <c r="B555" s="136"/>
      <c r="C555" s="141"/>
      <c r="D555" s="138"/>
      <c r="E555" s="139"/>
      <c r="F555" s="139"/>
      <c r="G555" s="139"/>
      <c r="H555" s="139"/>
      <c r="I555" s="139"/>
      <c r="J555" s="139"/>
      <c r="K555" s="139"/>
      <c r="L555" s="139"/>
      <c r="M555" s="139"/>
      <c r="N555" s="139"/>
      <c r="O555" s="139"/>
      <c r="P555" s="139"/>
      <c r="Q555" s="139"/>
      <c r="R555" s="139"/>
      <c r="S555" s="139"/>
      <c r="T555" s="139"/>
      <c r="U555" s="139"/>
      <c r="V555" s="139"/>
      <c r="W555" s="139"/>
      <c r="X555" s="139"/>
      <c r="Y555" s="139"/>
      <c r="Z555" s="139"/>
      <c r="AA555" s="139"/>
      <c r="AB555" s="139"/>
      <c r="AC555" s="139"/>
      <c r="AD555" s="139"/>
      <c r="AE555" s="139"/>
      <c r="AF555" s="139"/>
      <c r="AG555" s="139"/>
      <c r="AH555" s="139"/>
      <c r="AI555" s="139"/>
      <c r="AJ555" s="139"/>
      <c r="AK555" s="139"/>
      <c r="AL555" s="139"/>
      <c r="AM555" s="139"/>
      <c r="AN555" s="139"/>
      <c r="AO555" s="139"/>
      <c r="AP555" s="139"/>
      <c r="AQ555" s="139"/>
      <c r="AR555" s="139"/>
      <c r="AS555" s="139"/>
      <c r="AT555" s="139"/>
      <c r="AU555" s="139"/>
    </row>
    <row r="556" spans="1:47" ht="15.75" customHeight="1" x14ac:dyDescent="0.2">
      <c r="A556" s="27"/>
      <c r="B556" s="136"/>
      <c r="C556" s="141"/>
      <c r="D556" s="138"/>
      <c r="E556" s="139"/>
      <c r="F556" s="139"/>
      <c r="G556" s="139"/>
      <c r="H556" s="139"/>
      <c r="I556" s="139"/>
      <c r="J556" s="139"/>
      <c r="K556" s="139"/>
      <c r="L556" s="139"/>
      <c r="M556" s="139"/>
      <c r="N556" s="139"/>
      <c r="O556" s="139"/>
      <c r="P556" s="139"/>
      <c r="Q556" s="139"/>
      <c r="R556" s="139"/>
      <c r="S556" s="139"/>
      <c r="T556" s="139"/>
      <c r="U556" s="139"/>
      <c r="V556" s="139"/>
      <c r="W556" s="139"/>
      <c r="X556" s="139"/>
      <c r="Y556" s="139"/>
      <c r="Z556" s="139"/>
      <c r="AA556" s="139"/>
      <c r="AB556" s="139"/>
      <c r="AC556" s="139"/>
      <c r="AD556" s="139"/>
      <c r="AE556" s="139"/>
      <c r="AF556" s="139"/>
      <c r="AG556" s="139"/>
      <c r="AH556" s="139"/>
      <c r="AI556" s="139"/>
      <c r="AJ556" s="139"/>
      <c r="AK556" s="139"/>
      <c r="AL556" s="139"/>
      <c r="AM556" s="139"/>
      <c r="AN556" s="139"/>
      <c r="AO556" s="139"/>
      <c r="AP556" s="139"/>
      <c r="AQ556" s="139"/>
      <c r="AR556" s="139"/>
      <c r="AS556" s="139"/>
      <c r="AT556" s="139"/>
      <c r="AU556" s="139"/>
    </row>
    <row r="557" spans="1:47" ht="15.75" customHeight="1" x14ac:dyDescent="0.2">
      <c r="A557" s="27"/>
      <c r="B557" s="136"/>
      <c r="C557" s="141"/>
      <c r="D557" s="138"/>
      <c r="E557" s="139"/>
      <c r="F557" s="139"/>
      <c r="G557" s="139"/>
      <c r="H557" s="139"/>
      <c r="I557" s="139"/>
      <c r="J557" s="139"/>
      <c r="K557" s="139"/>
      <c r="L557" s="139"/>
      <c r="M557" s="139"/>
      <c r="N557" s="139"/>
      <c r="O557" s="139"/>
      <c r="P557" s="139"/>
      <c r="Q557" s="139"/>
      <c r="R557" s="139"/>
      <c r="S557" s="139"/>
      <c r="T557" s="139"/>
      <c r="U557" s="139"/>
      <c r="V557" s="139"/>
      <c r="W557" s="139"/>
      <c r="X557" s="139"/>
      <c r="Y557" s="139"/>
      <c r="Z557" s="139"/>
      <c r="AA557" s="139"/>
      <c r="AB557" s="139"/>
      <c r="AC557" s="139"/>
      <c r="AD557" s="139"/>
      <c r="AE557" s="139"/>
      <c r="AF557" s="139"/>
      <c r="AG557" s="139"/>
      <c r="AH557" s="139"/>
      <c r="AI557" s="139"/>
      <c r="AJ557" s="139"/>
      <c r="AK557" s="139"/>
      <c r="AL557" s="139"/>
      <c r="AM557" s="139"/>
      <c r="AN557" s="139"/>
      <c r="AO557" s="139"/>
      <c r="AP557" s="139"/>
      <c r="AQ557" s="139"/>
      <c r="AR557" s="139"/>
      <c r="AS557" s="139"/>
      <c r="AT557" s="139"/>
      <c r="AU557" s="139"/>
    </row>
    <row r="558" spans="1:47" ht="15.75" customHeight="1" x14ac:dyDescent="0.2">
      <c r="A558" s="27"/>
      <c r="B558" s="136"/>
      <c r="C558" s="141"/>
      <c r="D558" s="138"/>
      <c r="E558" s="139"/>
      <c r="F558" s="139"/>
      <c r="G558" s="139"/>
      <c r="H558" s="139"/>
      <c r="I558" s="139"/>
      <c r="J558" s="139"/>
      <c r="K558" s="139"/>
      <c r="L558" s="139"/>
      <c r="M558" s="139"/>
      <c r="N558" s="139"/>
      <c r="O558" s="139"/>
      <c r="P558" s="139"/>
      <c r="Q558" s="139"/>
      <c r="R558" s="139"/>
      <c r="S558" s="139"/>
      <c r="T558" s="139"/>
      <c r="U558" s="139"/>
      <c r="V558" s="139"/>
      <c r="W558" s="139"/>
      <c r="X558" s="139"/>
      <c r="Y558" s="139"/>
      <c r="Z558" s="139"/>
      <c r="AA558" s="139"/>
      <c r="AB558" s="139"/>
      <c r="AC558" s="139"/>
      <c r="AD558" s="139"/>
      <c r="AE558" s="139"/>
      <c r="AF558" s="139"/>
      <c r="AG558" s="139"/>
      <c r="AH558" s="139"/>
      <c r="AI558" s="139"/>
      <c r="AJ558" s="139"/>
      <c r="AK558" s="139"/>
      <c r="AL558" s="139"/>
      <c r="AM558" s="139"/>
      <c r="AN558" s="139"/>
      <c r="AO558" s="139"/>
      <c r="AP558" s="139"/>
      <c r="AQ558" s="139"/>
      <c r="AR558" s="139"/>
      <c r="AS558" s="139"/>
      <c r="AT558" s="139"/>
      <c r="AU558" s="139"/>
    </row>
    <row r="559" spans="1:47" ht="15.75" customHeight="1" x14ac:dyDescent="0.2">
      <c r="A559" s="27"/>
      <c r="B559" s="136"/>
      <c r="C559" s="141"/>
      <c r="D559" s="138"/>
      <c r="E559" s="139"/>
      <c r="F559" s="139"/>
      <c r="G559" s="139"/>
      <c r="H559" s="139"/>
      <c r="I559" s="139"/>
      <c r="J559" s="139"/>
      <c r="K559" s="139"/>
      <c r="L559" s="139"/>
      <c r="M559" s="139"/>
      <c r="N559" s="139"/>
      <c r="O559" s="139"/>
      <c r="P559" s="139"/>
      <c r="Q559" s="139"/>
      <c r="R559" s="139"/>
      <c r="S559" s="139"/>
      <c r="T559" s="139"/>
      <c r="U559" s="139"/>
      <c r="V559" s="139"/>
      <c r="W559" s="139"/>
      <c r="X559" s="139"/>
      <c r="Y559" s="139"/>
      <c r="Z559" s="139"/>
      <c r="AA559" s="139"/>
      <c r="AB559" s="139"/>
      <c r="AC559" s="139"/>
      <c r="AD559" s="139"/>
      <c r="AE559" s="139"/>
      <c r="AF559" s="139"/>
      <c r="AG559" s="139"/>
      <c r="AH559" s="139"/>
      <c r="AI559" s="139"/>
      <c r="AJ559" s="139"/>
      <c r="AK559" s="139"/>
      <c r="AL559" s="139"/>
      <c r="AM559" s="139"/>
      <c r="AN559" s="139"/>
      <c r="AO559" s="139"/>
      <c r="AP559" s="139"/>
      <c r="AQ559" s="139"/>
      <c r="AR559" s="139"/>
      <c r="AS559" s="139"/>
      <c r="AT559" s="139"/>
      <c r="AU559" s="139"/>
    </row>
    <row r="560" spans="1:47" ht="15.75" customHeight="1" x14ac:dyDescent="0.2">
      <c r="A560" s="27"/>
      <c r="B560" s="136"/>
      <c r="C560" s="141"/>
      <c r="D560" s="138"/>
      <c r="E560" s="139"/>
      <c r="F560" s="139"/>
      <c r="G560" s="139"/>
      <c r="H560" s="139"/>
      <c r="I560" s="139"/>
      <c r="J560" s="139"/>
      <c r="K560" s="139"/>
      <c r="L560" s="139"/>
      <c r="M560" s="139"/>
      <c r="N560" s="139"/>
      <c r="O560" s="139"/>
      <c r="P560" s="139"/>
      <c r="Q560" s="139"/>
      <c r="R560" s="139"/>
      <c r="S560" s="139"/>
      <c r="T560" s="139"/>
      <c r="U560" s="139"/>
      <c r="V560" s="139"/>
      <c r="W560" s="139"/>
      <c r="X560" s="139"/>
      <c r="Y560" s="139"/>
      <c r="Z560" s="139"/>
      <c r="AA560" s="139"/>
      <c r="AB560" s="139"/>
      <c r="AC560" s="139"/>
      <c r="AD560" s="139"/>
      <c r="AE560" s="139"/>
      <c r="AF560" s="139"/>
      <c r="AG560" s="139"/>
      <c r="AH560" s="139"/>
      <c r="AI560" s="139"/>
      <c r="AJ560" s="139"/>
      <c r="AK560" s="139"/>
      <c r="AL560" s="139"/>
      <c r="AM560" s="139"/>
      <c r="AN560" s="139"/>
      <c r="AO560" s="139"/>
      <c r="AP560" s="139"/>
      <c r="AQ560" s="139"/>
      <c r="AR560" s="139"/>
      <c r="AS560" s="139"/>
      <c r="AT560" s="139"/>
      <c r="AU560" s="139"/>
    </row>
    <row r="561" spans="1:47" ht="15.75" customHeight="1" x14ac:dyDescent="0.2">
      <c r="A561" s="27"/>
      <c r="B561" s="136"/>
      <c r="C561" s="141"/>
      <c r="D561" s="138"/>
      <c r="E561" s="139"/>
      <c r="F561" s="139"/>
      <c r="G561" s="139"/>
      <c r="H561" s="139"/>
      <c r="I561" s="139"/>
      <c r="J561" s="139"/>
      <c r="K561" s="139"/>
      <c r="L561" s="139"/>
      <c r="M561" s="139"/>
      <c r="N561" s="139"/>
      <c r="O561" s="139"/>
      <c r="P561" s="139"/>
      <c r="Q561" s="139"/>
      <c r="R561" s="139"/>
      <c r="S561" s="139"/>
      <c r="T561" s="139"/>
      <c r="U561" s="139"/>
      <c r="V561" s="139"/>
      <c r="W561" s="139"/>
      <c r="X561" s="139"/>
      <c r="Y561" s="139"/>
      <c r="Z561" s="139"/>
      <c r="AA561" s="139"/>
      <c r="AB561" s="139"/>
      <c r="AC561" s="139"/>
      <c r="AD561" s="139"/>
      <c r="AE561" s="139"/>
      <c r="AF561" s="139"/>
      <c r="AG561" s="139"/>
      <c r="AH561" s="139"/>
      <c r="AI561" s="139"/>
      <c r="AJ561" s="139"/>
      <c r="AK561" s="139"/>
      <c r="AL561" s="139"/>
      <c r="AM561" s="139"/>
      <c r="AN561" s="139"/>
      <c r="AO561" s="139"/>
      <c r="AP561" s="139"/>
      <c r="AQ561" s="139"/>
      <c r="AR561" s="139"/>
      <c r="AS561" s="139"/>
      <c r="AT561" s="139"/>
      <c r="AU561" s="139"/>
    </row>
    <row r="562" spans="1:47" ht="15.75" customHeight="1" x14ac:dyDescent="0.2">
      <c r="A562" s="27"/>
      <c r="B562" s="136"/>
      <c r="C562" s="141"/>
      <c r="D562" s="138"/>
      <c r="E562" s="139"/>
      <c r="F562" s="139"/>
      <c r="G562" s="139"/>
      <c r="H562" s="139"/>
      <c r="I562" s="139"/>
      <c r="J562" s="139"/>
      <c r="K562" s="139"/>
      <c r="L562" s="139"/>
      <c r="M562" s="139"/>
      <c r="N562" s="139"/>
      <c r="O562" s="139"/>
      <c r="P562" s="139"/>
      <c r="Q562" s="139"/>
      <c r="R562" s="139"/>
      <c r="S562" s="139"/>
      <c r="T562" s="139"/>
      <c r="U562" s="139"/>
      <c r="V562" s="139"/>
      <c r="W562" s="139"/>
      <c r="X562" s="139"/>
      <c r="Y562" s="139"/>
      <c r="Z562" s="139"/>
      <c r="AA562" s="139"/>
      <c r="AB562" s="139"/>
      <c r="AC562" s="139"/>
      <c r="AD562" s="139"/>
      <c r="AE562" s="139"/>
      <c r="AF562" s="139"/>
      <c r="AG562" s="139"/>
      <c r="AH562" s="139"/>
      <c r="AI562" s="139"/>
      <c r="AJ562" s="139"/>
      <c r="AK562" s="139"/>
      <c r="AL562" s="139"/>
      <c r="AM562" s="139"/>
      <c r="AN562" s="139"/>
      <c r="AO562" s="139"/>
      <c r="AP562" s="139"/>
      <c r="AQ562" s="139"/>
      <c r="AR562" s="139"/>
      <c r="AS562" s="139"/>
      <c r="AT562" s="139"/>
      <c r="AU562" s="139"/>
    </row>
    <row r="563" spans="1:47" ht="15.75" customHeight="1" x14ac:dyDescent="0.2">
      <c r="A563" s="27"/>
      <c r="B563" s="136"/>
      <c r="C563" s="141"/>
      <c r="D563" s="138"/>
      <c r="E563" s="139"/>
      <c r="F563" s="139"/>
      <c r="G563" s="139"/>
      <c r="H563" s="139"/>
      <c r="I563" s="139"/>
      <c r="J563" s="139"/>
      <c r="K563" s="139"/>
      <c r="L563" s="139"/>
      <c r="M563" s="139"/>
      <c r="N563" s="139"/>
      <c r="O563" s="139"/>
      <c r="P563" s="139"/>
      <c r="Q563" s="139"/>
      <c r="R563" s="139"/>
      <c r="S563" s="139"/>
      <c r="T563" s="139"/>
      <c r="U563" s="139"/>
      <c r="V563" s="139"/>
      <c r="W563" s="139"/>
      <c r="X563" s="139"/>
      <c r="Y563" s="139"/>
      <c r="Z563" s="139"/>
      <c r="AA563" s="139"/>
      <c r="AB563" s="139"/>
      <c r="AC563" s="139"/>
      <c r="AD563" s="139"/>
      <c r="AE563" s="139"/>
      <c r="AF563" s="139"/>
      <c r="AG563" s="139"/>
      <c r="AH563" s="139"/>
      <c r="AI563" s="139"/>
      <c r="AJ563" s="139"/>
      <c r="AK563" s="139"/>
      <c r="AL563" s="139"/>
      <c r="AM563" s="139"/>
      <c r="AN563" s="139"/>
      <c r="AO563" s="139"/>
      <c r="AP563" s="139"/>
      <c r="AQ563" s="139"/>
      <c r="AR563" s="139"/>
      <c r="AS563" s="139"/>
      <c r="AT563" s="139"/>
      <c r="AU563" s="139"/>
    </row>
    <row r="564" spans="1:47" ht="15.75" customHeight="1" x14ac:dyDescent="0.2">
      <c r="A564" s="27"/>
      <c r="B564" s="136"/>
      <c r="C564" s="141"/>
      <c r="D564" s="138"/>
      <c r="E564" s="139"/>
      <c r="F564" s="139"/>
      <c r="G564" s="139"/>
      <c r="H564" s="139"/>
      <c r="I564" s="139"/>
      <c r="J564" s="139"/>
      <c r="K564" s="139"/>
      <c r="L564" s="139"/>
      <c r="M564" s="139"/>
      <c r="N564" s="139"/>
      <c r="O564" s="139"/>
      <c r="P564" s="139"/>
      <c r="Q564" s="139"/>
      <c r="R564" s="139"/>
      <c r="S564" s="139"/>
      <c r="T564" s="139"/>
      <c r="U564" s="139"/>
      <c r="V564" s="139"/>
      <c r="W564" s="139"/>
      <c r="X564" s="139"/>
      <c r="Y564" s="139"/>
      <c r="Z564" s="139"/>
      <c r="AA564" s="139"/>
      <c r="AB564" s="139"/>
      <c r="AC564" s="139"/>
      <c r="AD564" s="139"/>
      <c r="AE564" s="139"/>
      <c r="AF564" s="139"/>
      <c r="AG564" s="139"/>
      <c r="AH564" s="139"/>
      <c r="AI564" s="139"/>
      <c r="AJ564" s="139"/>
      <c r="AK564" s="139"/>
      <c r="AL564" s="139"/>
      <c r="AM564" s="139"/>
      <c r="AN564" s="139"/>
      <c r="AO564" s="139"/>
      <c r="AP564" s="139"/>
      <c r="AQ564" s="139"/>
      <c r="AR564" s="139"/>
      <c r="AS564" s="139"/>
      <c r="AT564" s="139"/>
      <c r="AU564" s="139"/>
    </row>
    <row r="565" spans="1:47" ht="15.75" customHeight="1" x14ac:dyDescent="0.2">
      <c r="A565" s="27"/>
      <c r="B565" s="136"/>
      <c r="C565" s="141"/>
      <c r="D565" s="138"/>
      <c r="E565" s="139"/>
      <c r="F565" s="139"/>
      <c r="G565" s="139"/>
      <c r="H565" s="139"/>
      <c r="I565" s="139"/>
      <c r="J565" s="139"/>
      <c r="K565" s="139"/>
      <c r="L565" s="139"/>
      <c r="M565" s="139"/>
      <c r="N565" s="139"/>
      <c r="O565" s="139"/>
      <c r="P565" s="139"/>
      <c r="Q565" s="139"/>
      <c r="R565" s="139"/>
      <c r="S565" s="139"/>
      <c r="T565" s="139"/>
      <c r="U565" s="139"/>
      <c r="V565" s="139"/>
      <c r="W565" s="139"/>
      <c r="X565" s="139"/>
      <c r="Y565" s="139"/>
      <c r="Z565" s="139"/>
      <c r="AA565" s="139"/>
      <c r="AB565" s="139"/>
      <c r="AC565" s="139"/>
      <c r="AD565" s="139"/>
      <c r="AE565" s="139"/>
      <c r="AF565" s="139"/>
      <c r="AG565" s="139"/>
      <c r="AH565" s="139"/>
      <c r="AI565" s="139"/>
      <c r="AJ565" s="139"/>
      <c r="AK565" s="139"/>
      <c r="AL565" s="139"/>
      <c r="AM565" s="139"/>
      <c r="AN565" s="139"/>
      <c r="AO565" s="139"/>
      <c r="AP565" s="139"/>
      <c r="AQ565" s="139"/>
      <c r="AR565" s="139"/>
      <c r="AS565" s="139"/>
      <c r="AT565" s="139"/>
      <c r="AU565" s="139"/>
    </row>
    <row r="566" spans="1:47" ht="15.75" customHeight="1" x14ac:dyDescent="0.2">
      <c r="A566" s="27"/>
      <c r="B566" s="136"/>
      <c r="C566" s="141"/>
      <c r="D566" s="138"/>
      <c r="E566" s="139"/>
      <c r="F566" s="139"/>
      <c r="G566" s="139"/>
      <c r="H566" s="139"/>
      <c r="I566" s="139"/>
      <c r="J566" s="139"/>
      <c r="K566" s="139"/>
      <c r="L566" s="139"/>
      <c r="M566" s="139"/>
      <c r="N566" s="139"/>
      <c r="O566" s="139"/>
      <c r="P566" s="139"/>
      <c r="Q566" s="139"/>
      <c r="R566" s="139"/>
      <c r="S566" s="139"/>
      <c r="T566" s="139"/>
      <c r="U566" s="139"/>
      <c r="V566" s="139"/>
      <c r="W566" s="139"/>
      <c r="X566" s="139"/>
      <c r="Y566" s="139"/>
      <c r="Z566" s="139"/>
      <c r="AA566" s="139"/>
      <c r="AB566" s="139"/>
      <c r="AC566" s="139"/>
      <c r="AD566" s="139"/>
      <c r="AE566" s="139"/>
      <c r="AF566" s="139"/>
      <c r="AG566" s="139"/>
      <c r="AH566" s="139"/>
      <c r="AI566" s="139"/>
      <c r="AJ566" s="139"/>
      <c r="AK566" s="139"/>
      <c r="AL566" s="139"/>
      <c r="AM566" s="139"/>
      <c r="AN566" s="139"/>
      <c r="AO566" s="139"/>
      <c r="AP566" s="139"/>
      <c r="AQ566" s="139"/>
      <c r="AR566" s="139"/>
      <c r="AS566" s="139"/>
      <c r="AT566" s="139"/>
      <c r="AU566" s="139"/>
    </row>
    <row r="567" spans="1:47" ht="15.75" customHeight="1" x14ac:dyDescent="0.2">
      <c r="A567" s="27"/>
      <c r="B567" s="136"/>
      <c r="C567" s="141"/>
      <c r="D567" s="138"/>
      <c r="E567" s="139"/>
      <c r="F567" s="139"/>
      <c r="G567" s="139"/>
      <c r="H567" s="139"/>
      <c r="I567" s="139"/>
      <c r="J567" s="139"/>
      <c r="K567" s="139"/>
      <c r="L567" s="139"/>
      <c r="M567" s="139"/>
      <c r="N567" s="139"/>
      <c r="O567" s="139"/>
      <c r="P567" s="139"/>
      <c r="Q567" s="139"/>
      <c r="R567" s="139"/>
      <c r="S567" s="139"/>
      <c r="T567" s="139"/>
      <c r="U567" s="139"/>
      <c r="V567" s="139"/>
      <c r="W567" s="139"/>
      <c r="X567" s="139"/>
      <c r="Y567" s="139"/>
      <c r="Z567" s="139"/>
      <c r="AA567" s="139"/>
      <c r="AB567" s="139"/>
      <c r="AC567" s="139"/>
      <c r="AD567" s="139"/>
      <c r="AE567" s="139"/>
      <c r="AF567" s="139"/>
      <c r="AG567" s="139"/>
      <c r="AH567" s="139"/>
      <c r="AI567" s="139"/>
      <c r="AJ567" s="139"/>
      <c r="AK567" s="139"/>
      <c r="AL567" s="139"/>
      <c r="AM567" s="139"/>
      <c r="AN567" s="139"/>
      <c r="AO567" s="139"/>
      <c r="AP567" s="139"/>
      <c r="AQ567" s="139"/>
      <c r="AR567" s="139"/>
      <c r="AS567" s="139"/>
      <c r="AT567" s="139"/>
      <c r="AU567" s="139"/>
    </row>
    <row r="568" spans="1:47" ht="15.75" customHeight="1" x14ac:dyDescent="0.2">
      <c r="A568" s="27"/>
      <c r="B568" s="136"/>
      <c r="C568" s="141"/>
      <c r="D568" s="138"/>
      <c r="E568" s="139"/>
      <c r="F568" s="139"/>
      <c r="G568" s="139"/>
      <c r="H568" s="139"/>
      <c r="I568" s="139"/>
      <c r="J568" s="139"/>
      <c r="K568" s="139"/>
      <c r="L568" s="139"/>
      <c r="M568" s="139"/>
      <c r="N568" s="139"/>
      <c r="O568" s="139"/>
      <c r="P568" s="139"/>
      <c r="Q568" s="139"/>
      <c r="R568" s="139"/>
      <c r="S568" s="139"/>
      <c r="T568" s="139"/>
      <c r="U568" s="139"/>
      <c r="V568" s="139"/>
      <c r="W568" s="139"/>
      <c r="X568" s="139"/>
      <c r="Y568" s="139"/>
      <c r="Z568" s="139"/>
      <c r="AA568" s="139"/>
      <c r="AB568" s="139"/>
      <c r="AC568" s="139"/>
      <c r="AD568" s="139"/>
      <c r="AE568" s="139"/>
      <c r="AF568" s="139"/>
      <c r="AG568" s="139"/>
      <c r="AH568" s="139"/>
      <c r="AI568" s="139"/>
      <c r="AJ568" s="139"/>
      <c r="AK568" s="139"/>
      <c r="AL568" s="139"/>
      <c r="AM568" s="139"/>
      <c r="AN568" s="139"/>
      <c r="AO568" s="139"/>
      <c r="AP568" s="139"/>
      <c r="AQ568" s="139"/>
      <c r="AR568" s="139"/>
      <c r="AS568" s="139"/>
      <c r="AT568" s="139"/>
      <c r="AU568" s="139"/>
    </row>
    <row r="569" spans="1:47" ht="15.75" customHeight="1" x14ac:dyDescent="0.2">
      <c r="A569" s="27"/>
      <c r="B569" s="136"/>
      <c r="C569" s="141"/>
      <c r="D569" s="138"/>
      <c r="E569" s="139"/>
      <c r="F569" s="139"/>
      <c r="G569" s="139"/>
      <c r="H569" s="139"/>
      <c r="I569" s="139"/>
      <c r="J569" s="139"/>
      <c r="K569" s="139"/>
      <c r="L569" s="139"/>
      <c r="M569" s="139"/>
      <c r="N569" s="139"/>
      <c r="O569" s="139"/>
      <c r="P569" s="139"/>
      <c r="Q569" s="139"/>
      <c r="R569" s="139"/>
      <c r="S569" s="139"/>
      <c r="T569" s="139"/>
      <c r="U569" s="139"/>
      <c r="V569" s="139"/>
      <c r="W569" s="139"/>
      <c r="X569" s="139"/>
      <c r="Y569" s="139"/>
      <c r="Z569" s="139"/>
      <c r="AA569" s="139"/>
      <c r="AB569" s="139"/>
      <c r="AC569" s="139"/>
      <c r="AD569" s="139"/>
      <c r="AE569" s="139"/>
      <c r="AF569" s="139"/>
      <c r="AG569" s="139"/>
      <c r="AH569" s="139"/>
      <c r="AI569" s="139"/>
      <c r="AJ569" s="139"/>
      <c r="AK569" s="139"/>
      <c r="AL569" s="139"/>
      <c r="AM569" s="139"/>
      <c r="AN569" s="139"/>
      <c r="AO569" s="139"/>
      <c r="AP569" s="139"/>
      <c r="AQ569" s="139"/>
      <c r="AR569" s="139"/>
      <c r="AS569" s="139"/>
      <c r="AT569" s="139"/>
      <c r="AU569" s="139"/>
    </row>
    <row r="570" spans="1:47" ht="15.75" customHeight="1" x14ac:dyDescent="0.2">
      <c r="A570" s="27"/>
      <c r="B570" s="136"/>
      <c r="C570" s="141"/>
      <c r="D570" s="138"/>
      <c r="E570" s="139"/>
      <c r="F570" s="139"/>
      <c r="G570" s="139"/>
      <c r="H570" s="139"/>
      <c r="I570" s="139"/>
      <c r="J570" s="139"/>
      <c r="K570" s="139"/>
      <c r="L570" s="139"/>
      <c r="M570" s="139"/>
      <c r="N570" s="139"/>
      <c r="O570" s="139"/>
      <c r="P570" s="139"/>
      <c r="Q570" s="139"/>
      <c r="R570" s="139"/>
      <c r="S570" s="139"/>
      <c r="T570" s="139"/>
      <c r="U570" s="139"/>
      <c r="V570" s="139"/>
      <c r="W570" s="139"/>
      <c r="X570" s="139"/>
      <c r="Y570" s="139"/>
      <c r="Z570" s="139"/>
      <c r="AA570" s="139"/>
      <c r="AB570" s="139"/>
      <c r="AC570" s="139"/>
      <c r="AD570" s="139"/>
      <c r="AE570" s="139"/>
      <c r="AF570" s="139"/>
      <c r="AG570" s="139"/>
      <c r="AH570" s="139"/>
      <c r="AI570" s="139"/>
      <c r="AJ570" s="139"/>
      <c r="AK570" s="139"/>
      <c r="AL570" s="139"/>
      <c r="AM570" s="139"/>
      <c r="AN570" s="139"/>
      <c r="AO570" s="139"/>
      <c r="AP570" s="139"/>
      <c r="AQ570" s="139"/>
      <c r="AR570" s="139"/>
      <c r="AS570" s="139"/>
      <c r="AT570" s="139"/>
      <c r="AU570" s="139"/>
    </row>
    <row r="571" spans="1:47" ht="15.75" customHeight="1" x14ac:dyDescent="0.2">
      <c r="A571" s="27"/>
      <c r="B571" s="136"/>
      <c r="C571" s="141"/>
      <c r="D571" s="138"/>
      <c r="E571" s="139"/>
      <c r="F571" s="139"/>
      <c r="G571" s="139"/>
      <c r="H571" s="139"/>
      <c r="I571" s="139"/>
      <c r="J571" s="139"/>
      <c r="K571" s="139"/>
      <c r="L571" s="139"/>
      <c r="M571" s="139"/>
      <c r="N571" s="139"/>
      <c r="O571" s="139"/>
      <c r="P571" s="139"/>
      <c r="Q571" s="139"/>
      <c r="R571" s="139"/>
      <c r="S571" s="139"/>
      <c r="T571" s="139"/>
      <c r="U571" s="139"/>
      <c r="V571" s="139"/>
      <c r="W571" s="139"/>
      <c r="X571" s="139"/>
      <c r="Y571" s="139"/>
      <c r="Z571" s="139"/>
      <c r="AA571" s="139"/>
      <c r="AB571" s="139"/>
      <c r="AC571" s="139"/>
      <c r="AD571" s="139"/>
      <c r="AE571" s="139"/>
      <c r="AF571" s="139"/>
      <c r="AG571" s="139"/>
      <c r="AH571" s="139"/>
      <c r="AI571" s="139"/>
      <c r="AJ571" s="139"/>
      <c r="AK571" s="139"/>
      <c r="AL571" s="139"/>
      <c r="AM571" s="139"/>
      <c r="AN571" s="139"/>
      <c r="AO571" s="139"/>
      <c r="AP571" s="139"/>
      <c r="AQ571" s="139"/>
      <c r="AR571" s="139"/>
      <c r="AS571" s="139"/>
      <c r="AT571" s="139"/>
      <c r="AU571" s="139"/>
    </row>
    <row r="572" spans="1:47" ht="15.75" customHeight="1" x14ac:dyDescent="0.2">
      <c r="A572" s="27"/>
      <c r="B572" s="136"/>
      <c r="C572" s="141"/>
      <c r="D572" s="138"/>
      <c r="E572" s="139"/>
      <c r="F572" s="139"/>
      <c r="G572" s="139"/>
      <c r="H572" s="139"/>
      <c r="I572" s="139"/>
      <c r="J572" s="139"/>
      <c r="K572" s="139"/>
      <c r="L572" s="139"/>
      <c r="M572" s="139"/>
      <c r="N572" s="139"/>
      <c r="O572" s="139"/>
      <c r="P572" s="139"/>
      <c r="Q572" s="139"/>
      <c r="R572" s="139"/>
      <c r="S572" s="139"/>
      <c r="T572" s="139"/>
      <c r="U572" s="139"/>
      <c r="V572" s="139"/>
      <c r="W572" s="139"/>
      <c r="X572" s="139"/>
      <c r="Y572" s="139"/>
      <c r="Z572" s="139"/>
      <c r="AA572" s="139"/>
      <c r="AB572" s="139"/>
      <c r="AC572" s="139"/>
      <c r="AD572" s="139"/>
      <c r="AE572" s="139"/>
      <c r="AF572" s="139"/>
      <c r="AG572" s="139"/>
      <c r="AH572" s="139"/>
      <c r="AI572" s="139"/>
      <c r="AJ572" s="139"/>
      <c r="AK572" s="139"/>
      <c r="AL572" s="139"/>
      <c r="AM572" s="139"/>
      <c r="AN572" s="139"/>
      <c r="AO572" s="139"/>
      <c r="AP572" s="139"/>
      <c r="AQ572" s="139"/>
      <c r="AR572" s="139"/>
      <c r="AS572" s="139"/>
      <c r="AT572" s="139"/>
      <c r="AU572" s="139"/>
    </row>
    <row r="573" spans="1:47" ht="15.75" customHeight="1" x14ac:dyDescent="0.2">
      <c r="A573" s="27"/>
      <c r="B573" s="136"/>
      <c r="C573" s="141"/>
      <c r="D573" s="138"/>
      <c r="E573" s="139"/>
      <c r="F573" s="139"/>
      <c r="G573" s="139"/>
      <c r="H573" s="139"/>
      <c r="I573" s="139"/>
      <c r="J573" s="139"/>
      <c r="K573" s="139"/>
      <c r="L573" s="139"/>
      <c r="M573" s="139"/>
      <c r="N573" s="139"/>
      <c r="O573" s="139"/>
      <c r="P573" s="139"/>
      <c r="Q573" s="139"/>
      <c r="R573" s="139"/>
      <c r="S573" s="139"/>
      <c r="T573" s="139"/>
      <c r="U573" s="139"/>
      <c r="V573" s="139"/>
      <c r="W573" s="139"/>
      <c r="X573" s="139"/>
      <c r="Y573" s="139"/>
      <c r="Z573" s="139"/>
      <c r="AA573" s="139"/>
      <c r="AB573" s="139"/>
      <c r="AC573" s="139"/>
      <c r="AD573" s="139"/>
      <c r="AE573" s="139"/>
      <c r="AF573" s="139"/>
      <c r="AG573" s="139"/>
      <c r="AH573" s="139"/>
      <c r="AI573" s="139"/>
      <c r="AJ573" s="139"/>
      <c r="AK573" s="139"/>
      <c r="AL573" s="139"/>
      <c r="AM573" s="139"/>
      <c r="AN573" s="139"/>
      <c r="AO573" s="139"/>
      <c r="AP573" s="139"/>
      <c r="AQ573" s="139"/>
      <c r="AR573" s="139"/>
      <c r="AS573" s="139"/>
      <c r="AT573" s="139"/>
      <c r="AU573" s="139"/>
    </row>
    <row r="574" spans="1:47" ht="15.75" customHeight="1" x14ac:dyDescent="0.2">
      <c r="A574" s="27"/>
      <c r="B574" s="136"/>
      <c r="C574" s="141"/>
      <c r="D574" s="138"/>
      <c r="E574" s="139"/>
      <c r="F574" s="139"/>
      <c r="G574" s="139"/>
      <c r="H574" s="139"/>
      <c r="I574" s="139"/>
      <c r="J574" s="139"/>
      <c r="K574" s="139"/>
      <c r="L574" s="139"/>
      <c r="M574" s="139"/>
      <c r="N574" s="139"/>
      <c r="O574" s="139"/>
      <c r="P574" s="139"/>
      <c r="Q574" s="139"/>
      <c r="R574" s="139"/>
      <c r="S574" s="139"/>
      <c r="T574" s="139"/>
      <c r="U574" s="139"/>
      <c r="V574" s="139"/>
      <c r="W574" s="139"/>
      <c r="X574" s="139"/>
      <c r="Y574" s="139"/>
      <c r="Z574" s="139"/>
      <c r="AA574" s="139"/>
      <c r="AB574" s="139"/>
      <c r="AC574" s="139"/>
      <c r="AD574" s="139"/>
      <c r="AE574" s="139"/>
      <c r="AF574" s="139"/>
      <c r="AG574" s="139"/>
      <c r="AH574" s="139"/>
      <c r="AI574" s="139"/>
      <c r="AJ574" s="139"/>
      <c r="AK574" s="139"/>
      <c r="AL574" s="139"/>
      <c r="AM574" s="139"/>
      <c r="AN574" s="139"/>
      <c r="AO574" s="139"/>
      <c r="AP574" s="139"/>
      <c r="AQ574" s="139"/>
      <c r="AR574" s="139"/>
      <c r="AS574" s="139"/>
      <c r="AT574" s="139"/>
      <c r="AU574" s="139"/>
    </row>
    <row r="575" spans="1:47" ht="15.75" customHeight="1" x14ac:dyDescent="0.2">
      <c r="A575" s="27"/>
      <c r="B575" s="136"/>
      <c r="C575" s="141"/>
      <c r="D575" s="138"/>
      <c r="E575" s="139"/>
      <c r="F575" s="139"/>
      <c r="G575" s="139"/>
      <c r="H575" s="139"/>
      <c r="I575" s="139"/>
      <c r="J575" s="139"/>
      <c r="K575" s="139"/>
      <c r="L575" s="139"/>
      <c r="M575" s="139"/>
      <c r="N575" s="139"/>
      <c r="O575" s="139"/>
      <c r="P575" s="139"/>
      <c r="Q575" s="139"/>
      <c r="R575" s="139"/>
      <c r="S575" s="139"/>
      <c r="T575" s="139"/>
      <c r="U575" s="139"/>
      <c r="V575" s="139"/>
      <c r="W575" s="139"/>
      <c r="X575" s="139"/>
      <c r="Y575" s="139"/>
      <c r="Z575" s="139"/>
      <c r="AA575" s="139"/>
      <c r="AB575" s="139"/>
      <c r="AC575" s="139"/>
      <c r="AD575" s="139"/>
      <c r="AE575" s="139"/>
      <c r="AF575" s="139"/>
      <c r="AG575" s="139"/>
      <c r="AH575" s="139"/>
      <c r="AI575" s="139"/>
      <c r="AJ575" s="139"/>
      <c r="AK575" s="139"/>
      <c r="AL575" s="139"/>
      <c r="AM575" s="139"/>
      <c r="AN575" s="139"/>
      <c r="AO575" s="139"/>
      <c r="AP575" s="139"/>
      <c r="AQ575" s="139"/>
      <c r="AR575" s="139"/>
      <c r="AS575" s="139"/>
      <c r="AT575" s="139"/>
      <c r="AU575" s="139"/>
    </row>
    <row r="576" spans="1:47" ht="15.75" customHeight="1" x14ac:dyDescent="0.2">
      <c r="A576" s="27"/>
      <c r="B576" s="136"/>
      <c r="C576" s="141"/>
      <c r="D576" s="138"/>
      <c r="E576" s="139"/>
      <c r="F576" s="139"/>
      <c r="G576" s="139"/>
      <c r="H576" s="139"/>
      <c r="I576" s="139"/>
      <c r="J576" s="139"/>
      <c r="K576" s="139"/>
      <c r="L576" s="139"/>
      <c r="M576" s="139"/>
      <c r="N576" s="139"/>
      <c r="O576" s="139"/>
      <c r="P576" s="139"/>
      <c r="Q576" s="139"/>
      <c r="R576" s="139"/>
      <c r="S576" s="139"/>
      <c r="T576" s="139"/>
      <c r="U576" s="139"/>
      <c r="V576" s="139"/>
      <c r="W576" s="139"/>
      <c r="X576" s="139"/>
      <c r="Y576" s="139"/>
      <c r="Z576" s="139"/>
      <c r="AA576" s="139"/>
      <c r="AB576" s="139"/>
      <c r="AC576" s="139"/>
      <c r="AD576" s="139"/>
      <c r="AE576" s="139"/>
      <c r="AF576" s="139"/>
      <c r="AG576" s="139"/>
      <c r="AH576" s="139"/>
      <c r="AI576" s="139"/>
      <c r="AJ576" s="139"/>
      <c r="AK576" s="139"/>
      <c r="AL576" s="139"/>
      <c r="AM576" s="139"/>
      <c r="AN576" s="139"/>
      <c r="AO576" s="139"/>
      <c r="AP576" s="139"/>
      <c r="AQ576" s="139"/>
      <c r="AR576" s="139"/>
      <c r="AS576" s="139"/>
      <c r="AT576" s="139"/>
      <c r="AU576" s="139"/>
    </row>
    <row r="577" spans="1:47" ht="15.75" customHeight="1" x14ac:dyDescent="0.2">
      <c r="A577" s="27"/>
      <c r="B577" s="136"/>
      <c r="C577" s="141"/>
      <c r="D577" s="138"/>
      <c r="E577" s="139"/>
      <c r="F577" s="139"/>
      <c r="G577" s="139"/>
      <c r="H577" s="139"/>
      <c r="I577" s="139"/>
      <c r="J577" s="139"/>
      <c r="K577" s="139"/>
      <c r="L577" s="139"/>
      <c r="M577" s="139"/>
      <c r="N577" s="139"/>
      <c r="O577" s="139"/>
      <c r="P577" s="139"/>
      <c r="Q577" s="139"/>
      <c r="R577" s="139"/>
      <c r="S577" s="139"/>
      <c r="T577" s="139"/>
      <c r="U577" s="139"/>
      <c r="V577" s="139"/>
      <c r="W577" s="139"/>
      <c r="X577" s="139"/>
      <c r="Y577" s="139"/>
      <c r="Z577" s="139"/>
      <c r="AA577" s="139"/>
      <c r="AB577" s="139"/>
      <c r="AC577" s="139"/>
      <c r="AD577" s="139"/>
      <c r="AE577" s="139"/>
      <c r="AF577" s="139"/>
      <c r="AG577" s="139"/>
      <c r="AH577" s="139"/>
      <c r="AI577" s="139"/>
      <c r="AJ577" s="139"/>
      <c r="AK577" s="139"/>
      <c r="AL577" s="139"/>
      <c r="AM577" s="139"/>
      <c r="AN577" s="139"/>
      <c r="AO577" s="139"/>
      <c r="AP577" s="139"/>
      <c r="AQ577" s="139"/>
      <c r="AR577" s="139"/>
      <c r="AS577" s="139"/>
      <c r="AT577" s="139"/>
      <c r="AU577" s="139"/>
    </row>
    <row r="578" spans="1:47" ht="15.75" customHeight="1" x14ac:dyDescent="0.2">
      <c r="A578" s="27"/>
      <c r="B578" s="136"/>
      <c r="C578" s="141"/>
      <c r="D578" s="138"/>
      <c r="E578" s="139"/>
      <c r="F578" s="139"/>
      <c r="G578" s="139"/>
      <c r="H578" s="139"/>
      <c r="I578" s="139"/>
      <c r="J578" s="139"/>
      <c r="K578" s="139"/>
      <c r="L578" s="139"/>
      <c r="M578" s="139"/>
      <c r="N578" s="139"/>
      <c r="O578" s="139"/>
      <c r="P578" s="139"/>
      <c r="Q578" s="139"/>
      <c r="R578" s="139"/>
      <c r="S578" s="139"/>
      <c r="T578" s="139"/>
      <c r="U578" s="139"/>
      <c r="V578" s="139"/>
      <c r="W578" s="139"/>
      <c r="X578" s="139"/>
      <c r="Y578" s="139"/>
      <c r="Z578" s="139"/>
      <c r="AA578" s="139"/>
      <c r="AB578" s="139"/>
      <c r="AC578" s="139"/>
      <c r="AD578" s="139"/>
      <c r="AE578" s="139"/>
      <c r="AF578" s="139"/>
      <c r="AG578" s="139"/>
      <c r="AH578" s="139"/>
      <c r="AI578" s="139"/>
      <c r="AJ578" s="139"/>
      <c r="AK578" s="139"/>
      <c r="AL578" s="139"/>
      <c r="AM578" s="139"/>
      <c r="AN578" s="139"/>
      <c r="AO578" s="139"/>
      <c r="AP578" s="139"/>
      <c r="AQ578" s="139"/>
      <c r="AR578" s="139"/>
      <c r="AS578" s="139"/>
      <c r="AT578" s="139"/>
      <c r="AU578" s="139"/>
    </row>
    <row r="579" spans="1:47" ht="15.75" customHeight="1" x14ac:dyDescent="0.2">
      <c r="A579" s="27"/>
      <c r="B579" s="136"/>
      <c r="C579" s="141"/>
      <c r="D579" s="138"/>
      <c r="E579" s="139"/>
      <c r="F579" s="139"/>
      <c r="G579" s="139"/>
      <c r="H579" s="139"/>
      <c r="I579" s="139"/>
      <c r="J579" s="139"/>
      <c r="K579" s="139"/>
      <c r="L579" s="139"/>
      <c r="M579" s="139"/>
      <c r="N579" s="139"/>
      <c r="O579" s="139"/>
      <c r="P579" s="139"/>
      <c r="Q579" s="139"/>
      <c r="R579" s="139"/>
      <c r="S579" s="139"/>
      <c r="T579" s="139"/>
      <c r="U579" s="139"/>
      <c r="V579" s="139"/>
      <c r="W579" s="139"/>
      <c r="X579" s="139"/>
      <c r="Y579" s="139"/>
      <c r="Z579" s="139"/>
      <c r="AA579" s="139"/>
      <c r="AB579" s="139"/>
      <c r="AC579" s="139"/>
      <c r="AD579" s="139"/>
      <c r="AE579" s="139"/>
      <c r="AF579" s="139"/>
      <c r="AG579" s="139"/>
      <c r="AH579" s="139"/>
      <c r="AI579" s="139"/>
      <c r="AJ579" s="139"/>
      <c r="AK579" s="139"/>
      <c r="AL579" s="139"/>
      <c r="AM579" s="139"/>
      <c r="AN579" s="139"/>
      <c r="AO579" s="139"/>
      <c r="AP579" s="139"/>
      <c r="AQ579" s="139"/>
      <c r="AR579" s="139"/>
      <c r="AS579" s="139"/>
      <c r="AT579" s="139"/>
      <c r="AU579" s="139"/>
    </row>
    <row r="580" spans="1:47" ht="15.75" customHeight="1" x14ac:dyDescent="0.2">
      <c r="A580" s="27"/>
      <c r="B580" s="136"/>
      <c r="C580" s="141"/>
      <c r="D580" s="138"/>
      <c r="E580" s="139"/>
      <c r="F580" s="139"/>
      <c r="G580" s="139"/>
      <c r="H580" s="139"/>
      <c r="I580" s="139"/>
      <c r="J580" s="139"/>
      <c r="K580" s="139"/>
      <c r="L580" s="139"/>
      <c r="M580" s="139"/>
      <c r="N580" s="139"/>
      <c r="O580" s="139"/>
      <c r="P580" s="139"/>
      <c r="Q580" s="139"/>
      <c r="R580" s="139"/>
      <c r="S580" s="139"/>
      <c r="T580" s="139"/>
      <c r="U580" s="139"/>
      <c r="V580" s="139"/>
      <c r="W580" s="139"/>
      <c r="X580" s="139"/>
      <c r="Y580" s="139"/>
      <c r="Z580" s="139"/>
      <c r="AA580" s="139"/>
      <c r="AB580" s="139"/>
      <c r="AC580" s="139"/>
      <c r="AD580" s="139"/>
      <c r="AE580" s="139"/>
      <c r="AF580" s="139"/>
      <c r="AG580" s="139"/>
      <c r="AH580" s="139"/>
      <c r="AI580" s="139"/>
      <c r="AJ580" s="139"/>
      <c r="AK580" s="139"/>
      <c r="AL580" s="139"/>
      <c r="AM580" s="139"/>
      <c r="AN580" s="139"/>
      <c r="AO580" s="139"/>
      <c r="AP580" s="139"/>
      <c r="AQ580" s="139"/>
      <c r="AR580" s="139"/>
      <c r="AS580" s="139"/>
      <c r="AT580" s="139"/>
      <c r="AU580" s="139"/>
    </row>
    <row r="581" spans="1:47" ht="15.75" customHeight="1" x14ac:dyDescent="0.2">
      <c r="A581" s="27"/>
      <c r="B581" s="136"/>
      <c r="C581" s="141"/>
      <c r="D581" s="138"/>
      <c r="E581" s="139"/>
      <c r="F581" s="139"/>
      <c r="G581" s="139"/>
      <c r="H581" s="139"/>
      <c r="I581" s="139"/>
      <c r="J581" s="139"/>
      <c r="K581" s="139"/>
      <c r="L581" s="139"/>
      <c r="M581" s="139"/>
      <c r="N581" s="139"/>
      <c r="O581" s="139"/>
      <c r="P581" s="139"/>
      <c r="Q581" s="139"/>
      <c r="R581" s="139"/>
      <c r="S581" s="139"/>
      <c r="T581" s="139"/>
      <c r="U581" s="139"/>
      <c r="V581" s="139"/>
      <c r="W581" s="139"/>
      <c r="X581" s="139"/>
      <c r="Y581" s="139"/>
      <c r="Z581" s="139"/>
      <c r="AA581" s="139"/>
      <c r="AB581" s="139"/>
      <c r="AC581" s="139"/>
      <c r="AD581" s="139"/>
      <c r="AE581" s="139"/>
      <c r="AF581" s="139"/>
      <c r="AG581" s="139"/>
      <c r="AH581" s="139"/>
      <c r="AI581" s="139"/>
      <c r="AJ581" s="139"/>
      <c r="AK581" s="139"/>
      <c r="AL581" s="139"/>
      <c r="AM581" s="139"/>
      <c r="AN581" s="139"/>
      <c r="AO581" s="139"/>
      <c r="AP581" s="139"/>
      <c r="AQ581" s="139"/>
      <c r="AR581" s="139"/>
      <c r="AS581" s="139"/>
      <c r="AT581" s="139"/>
      <c r="AU581" s="139"/>
    </row>
    <row r="582" spans="1:47" ht="15.75" customHeight="1" x14ac:dyDescent="0.2">
      <c r="A582" s="27"/>
      <c r="B582" s="136"/>
      <c r="C582" s="141"/>
      <c r="D582" s="138"/>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c r="AA582" s="139"/>
      <c r="AB582" s="139"/>
      <c r="AC582" s="139"/>
      <c r="AD582" s="139"/>
      <c r="AE582" s="139"/>
      <c r="AF582" s="139"/>
      <c r="AG582" s="139"/>
      <c r="AH582" s="139"/>
      <c r="AI582" s="139"/>
      <c r="AJ582" s="139"/>
      <c r="AK582" s="139"/>
      <c r="AL582" s="139"/>
      <c r="AM582" s="139"/>
      <c r="AN582" s="139"/>
      <c r="AO582" s="139"/>
      <c r="AP582" s="139"/>
      <c r="AQ582" s="139"/>
      <c r="AR582" s="139"/>
      <c r="AS582" s="139"/>
      <c r="AT582" s="139"/>
      <c r="AU582" s="139"/>
    </row>
    <row r="583" spans="1:47" ht="15.75" customHeight="1" x14ac:dyDescent="0.2">
      <c r="A583" s="27"/>
      <c r="B583" s="136"/>
      <c r="C583" s="141"/>
      <c r="D583" s="138"/>
      <c r="E583" s="139"/>
      <c r="F583" s="139"/>
      <c r="G583" s="139"/>
      <c r="H583" s="139"/>
      <c r="I583" s="139"/>
      <c r="J583" s="139"/>
      <c r="K583" s="139"/>
      <c r="L583" s="139"/>
      <c r="M583" s="139"/>
      <c r="N583" s="139"/>
      <c r="O583" s="139"/>
      <c r="P583" s="139"/>
      <c r="Q583" s="139"/>
      <c r="R583" s="139"/>
      <c r="S583" s="139"/>
      <c r="T583" s="139"/>
      <c r="U583" s="139"/>
      <c r="V583" s="139"/>
      <c r="W583" s="139"/>
      <c r="X583" s="139"/>
      <c r="Y583" s="139"/>
      <c r="Z583" s="139"/>
      <c r="AA583" s="139"/>
      <c r="AB583" s="139"/>
      <c r="AC583" s="139"/>
      <c r="AD583" s="139"/>
      <c r="AE583" s="139"/>
      <c r="AF583" s="139"/>
      <c r="AG583" s="139"/>
      <c r="AH583" s="139"/>
      <c r="AI583" s="139"/>
      <c r="AJ583" s="139"/>
      <c r="AK583" s="139"/>
      <c r="AL583" s="139"/>
      <c r="AM583" s="139"/>
      <c r="AN583" s="139"/>
      <c r="AO583" s="139"/>
      <c r="AP583" s="139"/>
      <c r="AQ583" s="139"/>
      <c r="AR583" s="139"/>
      <c r="AS583" s="139"/>
      <c r="AT583" s="139"/>
      <c r="AU583" s="139"/>
    </row>
    <row r="584" spans="1:47" ht="15.75" customHeight="1" x14ac:dyDescent="0.2">
      <c r="A584" s="27"/>
      <c r="B584" s="136"/>
      <c r="C584" s="141"/>
      <c r="D584" s="138"/>
      <c r="E584" s="139"/>
      <c r="F584" s="139"/>
      <c r="G584" s="139"/>
      <c r="H584" s="139"/>
      <c r="I584" s="139"/>
      <c r="J584" s="139"/>
      <c r="K584" s="139"/>
      <c r="L584" s="139"/>
      <c r="M584" s="139"/>
      <c r="N584" s="139"/>
      <c r="O584" s="139"/>
      <c r="P584" s="139"/>
      <c r="Q584" s="139"/>
      <c r="R584" s="139"/>
      <c r="S584" s="139"/>
      <c r="T584" s="139"/>
      <c r="U584" s="139"/>
      <c r="V584" s="139"/>
      <c r="W584" s="139"/>
      <c r="X584" s="139"/>
      <c r="Y584" s="139"/>
      <c r="Z584" s="139"/>
      <c r="AA584" s="139"/>
      <c r="AB584" s="139"/>
      <c r="AC584" s="139"/>
      <c r="AD584" s="139"/>
      <c r="AE584" s="139"/>
      <c r="AF584" s="139"/>
      <c r="AG584" s="139"/>
      <c r="AH584" s="139"/>
      <c r="AI584" s="139"/>
      <c r="AJ584" s="139"/>
      <c r="AK584" s="139"/>
      <c r="AL584" s="139"/>
      <c r="AM584" s="139"/>
      <c r="AN584" s="139"/>
      <c r="AO584" s="139"/>
      <c r="AP584" s="139"/>
      <c r="AQ584" s="139"/>
      <c r="AR584" s="139"/>
      <c r="AS584" s="139"/>
      <c r="AT584" s="139"/>
      <c r="AU584" s="139"/>
    </row>
    <row r="585" spans="1:47" ht="15.75" customHeight="1" x14ac:dyDescent="0.2">
      <c r="A585" s="27"/>
      <c r="B585" s="136"/>
      <c r="C585" s="141"/>
      <c r="D585" s="138"/>
      <c r="E585" s="139"/>
      <c r="F585" s="139"/>
      <c r="G585" s="139"/>
      <c r="H585" s="139"/>
      <c r="I585" s="139"/>
      <c r="J585" s="139"/>
      <c r="K585" s="139"/>
      <c r="L585" s="139"/>
      <c r="M585" s="139"/>
      <c r="N585" s="139"/>
      <c r="O585" s="139"/>
      <c r="P585" s="139"/>
      <c r="Q585" s="139"/>
      <c r="R585" s="139"/>
      <c r="S585" s="139"/>
      <c r="T585" s="139"/>
      <c r="U585" s="139"/>
      <c r="V585" s="139"/>
      <c r="W585" s="139"/>
      <c r="X585" s="139"/>
      <c r="Y585" s="139"/>
      <c r="Z585" s="139"/>
      <c r="AA585" s="139"/>
      <c r="AB585" s="139"/>
      <c r="AC585" s="139"/>
      <c r="AD585" s="139"/>
      <c r="AE585" s="139"/>
      <c r="AF585" s="139"/>
      <c r="AG585" s="139"/>
      <c r="AH585" s="139"/>
      <c r="AI585" s="139"/>
      <c r="AJ585" s="139"/>
      <c r="AK585" s="139"/>
      <c r="AL585" s="139"/>
      <c r="AM585" s="139"/>
      <c r="AN585" s="139"/>
      <c r="AO585" s="139"/>
      <c r="AP585" s="139"/>
      <c r="AQ585" s="139"/>
      <c r="AR585" s="139"/>
      <c r="AS585" s="139"/>
      <c r="AT585" s="139"/>
      <c r="AU585" s="139"/>
    </row>
    <row r="586" spans="1:47" ht="15.75" customHeight="1" x14ac:dyDescent="0.2">
      <c r="A586" s="27"/>
      <c r="B586" s="136"/>
      <c r="C586" s="141"/>
      <c r="D586" s="138"/>
      <c r="E586" s="139"/>
      <c r="F586" s="139"/>
      <c r="G586" s="139"/>
      <c r="H586" s="139"/>
      <c r="I586" s="139"/>
      <c r="J586" s="139"/>
      <c r="K586" s="139"/>
      <c r="L586" s="139"/>
      <c r="M586" s="139"/>
      <c r="N586" s="139"/>
      <c r="O586" s="139"/>
      <c r="P586" s="139"/>
      <c r="Q586" s="139"/>
      <c r="R586" s="139"/>
      <c r="S586" s="139"/>
      <c r="T586" s="139"/>
      <c r="U586" s="139"/>
      <c r="V586" s="139"/>
      <c r="W586" s="139"/>
      <c r="X586" s="139"/>
      <c r="Y586" s="139"/>
      <c r="Z586" s="139"/>
      <c r="AA586" s="139"/>
      <c r="AB586" s="139"/>
      <c r="AC586" s="139"/>
      <c r="AD586" s="139"/>
      <c r="AE586" s="139"/>
      <c r="AF586" s="139"/>
      <c r="AG586" s="139"/>
      <c r="AH586" s="139"/>
      <c r="AI586" s="139"/>
      <c r="AJ586" s="139"/>
      <c r="AK586" s="139"/>
      <c r="AL586" s="139"/>
      <c r="AM586" s="139"/>
      <c r="AN586" s="139"/>
      <c r="AO586" s="139"/>
      <c r="AP586" s="139"/>
      <c r="AQ586" s="139"/>
      <c r="AR586" s="139"/>
      <c r="AS586" s="139"/>
      <c r="AT586" s="139"/>
      <c r="AU586" s="139"/>
    </row>
    <row r="587" spans="1:47" ht="15.75" customHeight="1" x14ac:dyDescent="0.2">
      <c r="A587" s="27"/>
      <c r="B587" s="136"/>
      <c r="C587" s="141"/>
      <c r="D587" s="138"/>
      <c r="E587" s="139"/>
      <c r="F587" s="139"/>
      <c r="G587" s="139"/>
      <c r="H587" s="139"/>
      <c r="I587" s="139"/>
      <c r="J587" s="139"/>
      <c r="K587" s="139"/>
      <c r="L587" s="139"/>
      <c r="M587" s="139"/>
      <c r="N587" s="139"/>
      <c r="O587" s="139"/>
      <c r="P587" s="139"/>
      <c r="Q587" s="139"/>
      <c r="R587" s="139"/>
      <c r="S587" s="139"/>
      <c r="T587" s="139"/>
      <c r="U587" s="139"/>
      <c r="V587" s="139"/>
      <c r="W587" s="139"/>
      <c r="X587" s="139"/>
      <c r="Y587" s="139"/>
      <c r="Z587" s="139"/>
      <c r="AA587" s="139"/>
      <c r="AB587" s="139"/>
      <c r="AC587" s="139"/>
      <c r="AD587" s="139"/>
      <c r="AE587" s="139"/>
      <c r="AF587" s="139"/>
      <c r="AG587" s="139"/>
      <c r="AH587" s="139"/>
      <c r="AI587" s="139"/>
      <c r="AJ587" s="139"/>
      <c r="AK587" s="139"/>
      <c r="AL587" s="139"/>
      <c r="AM587" s="139"/>
      <c r="AN587" s="139"/>
      <c r="AO587" s="139"/>
      <c r="AP587" s="139"/>
      <c r="AQ587" s="139"/>
      <c r="AR587" s="139"/>
      <c r="AS587" s="139"/>
      <c r="AT587" s="139"/>
      <c r="AU587" s="139"/>
    </row>
    <row r="588" spans="1:47" ht="15.75" customHeight="1" x14ac:dyDescent="0.2">
      <c r="A588" s="27"/>
      <c r="B588" s="136"/>
      <c r="C588" s="141"/>
      <c r="D588" s="138"/>
      <c r="E588" s="139"/>
      <c r="F588" s="139"/>
      <c r="G588" s="139"/>
      <c r="H588" s="139"/>
      <c r="I588" s="139"/>
      <c r="J588" s="139"/>
      <c r="K588" s="139"/>
      <c r="L588" s="139"/>
      <c r="M588" s="139"/>
      <c r="N588" s="139"/>
      <c r="O588" s="139"/>
      <c r="P588" s="139"/>
      <c r="Q588" s="139"/>
      <c r="R588" s="139"/>
      <c r="S588" s="139"/>
      <c r="T588" s="139"/>
      <c r="U588" s="139"/>
      <c r="V588" s="139"/>
      <c r="W588" s="139"/>
      <c r="X588" s="139"/>
      <c r="Y588" s="139"/>
      <c r="Z588" s="139"/>
      <c r="AA588" s="139"/>
      <c r="AB588" s="139"/>
      <c r="AC588" s="139"/>
      <c r="AD588" s="139"/>
      <c r="AE588" s="139"/>
      <c r="AF588" s="139"/>
      <c r="AG588" s="139"/>
      <c r="AH588" s="139"/>
      <c r="AI588" s="139"/>
      <c r="AJ588" s="139"/>
      <c r="AK588" s="139"/>
      <c r="AL588" s="139"/>
      <c r="AM588" s="139"/>
      <c r="AN588" s="139"/>
      <c r="AO588" s="139"/>
      <c r="AP588" s="139"/>
      <c r="AQ588" s="139"/>
      <c r="AR588" s="139"/>
      <c r="AS588" s="139"/>
      <c r="AT588" s="139"/>
      <c r="AU588" s="139"/>
    </row>
    <row r="589" spans="1:47" ht="15.75" customHeight="1" x14ac:dyDescent="0.2">
      <c r="A589" s="27"/>
      <c r="B589" s="136"/>
      <c r="C589" s="141"/>
      <c r="D589" s="138"/>
      <c r="E589" s="139"/>
      <c r="F589" s="139"/>
      <c r="G589" s="139"/>
      <c r="H589" s="139"/>
      <c r="I589" s="139"/>
      <c r="J589" s="139"/>
      <c r="K589" s="139"/>
      <c r="L589" s="139"/>
      <c r="M589" s="139"/>
      <c r="N589" s="139"/>
      <c r="O589" s="139"/>
      <c r="P589" s="139"/>
      <c r="Q589" s="139"/>
      <c r="R589" s="139"/>
      <c r="S589" s="139"/>
      <c r="T589" s="139"/>
      <c r="U589" s="139"/>
      <c r="V589" s="139"/>
      <c r="W589" s="139"/>
      <c r="X589" s="139"/>
      <c r="Y589" s="139"/>
      <c r="Z589" s="139"/>
      <c r="AA589" s="139"/>
      <c r="AB589" s="139"/>
      <c r="AC589" s="139"/>
      <c r="AD589" s="139"/>
      <c r="AE589" s="139"/>
      <c r="AF589" s="139"/>
      <c r="AG589" s="139"/>
      <c r="AH589" s="139"/>
      <c r="AI589" s="139"/>
      <c r="AJ589" s="139"/>
      <c r="AK589" s="139"/>
      <c r="AL589" s="139"/>
      <c r="AM589" s="139"/>
      <c r="AN589" s="139"/>
      <c r="AO589" s="139"/>
      <c r="AP589" s="139"/>
      <c r="AQ589" s="139"/>
      <c r="AR589" s="139"/>
      <c r="AS589" s="139"/>
      <c r="AT589" s="139"/>
      <c r="AU589" s="139"/>
    </row>
    <row r="590" spans="1:47" ht="15.75" customHeight="1" x14ac:dyDescent="0.2">
      <c r="A590" s="27"/>
      <c r="B590" s="136"/>
      <c r="C590" s="141"/>
      <c r="D590" s="138"/>
      <c r="E590" s="139"/>
      <c r="F590" s="139"/>
      <c r="G590" s="139"/>
      <c r="H590" s="139"/>
      <c r="I590" s="139"/>
      <c r="J590" s="139"/>
      <c r="K590" s="139"/>
      <c r="L590" s="139"/>
      <c r="M590" s="139"/>
      <c r="N590" s="139"/>
      <c r="O590" s="139"/>
      <c r="P590" s="139"/>
      <c r="Q590" s="139"/>
      <c r="R590" s="139"/>
      <c r="S590" s="139"/>
      <c r="T590" s="139"/>
      <c r="U590" s="139"/>
      <c r="V590" s="139"/>
      <c r="W590" s="139"/>
      <c r="X590" s="139"/>
      <c r="Y590" s="139"/>
      <c r="Z590" s="139"/>
      <c r="AA590" s="139"/>
      <c r="AB590" s="139"/>
      <c r="AC590" s="139"/>
      <c r="AD590" s="139"/>
      <c r="AE590" s="139"/>
      <c r="AF590" s="139"/>
      <c r="AG590" s="139"/>
      <c r="AH590" s="139"/>
      <c r="AI590" s="139"/>
      <c r="AJ590" s="139"/>
      <c r="AK590" s="139"/>
      <c r="AL590" s="139"/>
      <c r="AM590" s="139"/>
      <c r="AN590" s="139"/>
      <c r="AO590" s="139"/>
      <c r="AP590" s="139"/>
      <c r="AQ590" s="139"/>
      <c r="AR590" s="139"/>
      <c r="AS590" s="139"/>
      <c r="AT590" s="139"/>
      <c r="AU590" s="139"/>
    </row>
    <row r="591" spans="1:47" ht="15.75" customHeight="1" x14ac:dyDescent="0.2">
      <c r="A591" s="27"/>
      <c r="B591" s="136"/>
      <c r="C591" s="141"/>
      <c r="D591" s="138"/>
      <c r="E591" s="139"/>
      <c r="F591" s="139"/>
      <c r="G591" s="139"/>
      <c r="H591" s="139"/>
      <c r="I591" s="139"/>
      <c r="J591" s="139"/>
      <c r="K591" s="139"/>
      <c r="L591" s="139"/>
      <c r="M591" s="139"/>
      <c r="N591" s="139"/>
      <c r="O591" s="139"/>
      <c r="P591" s="139"/>
      <c r="Q591" s="139"/>
      <c r="R591" s="139"/>
      <c r="S591" s="139"/>
      <c r="T591" s="139"/>
      <c r="U591" s="139"/>
      <c r="V591" s="139"/>
      <c r="W591" s="139"/>
      <c r="X591" s="139"/>
      <c r="Y591" s="139"/>
      <c r="Z591" s="139"/>
      <c r="AA591" s="139"/>
      <c r="AB591" s="139"/>
      <c r="AC591" s="139"/>
      <c r="AD591" s="139"/>
      <c r="AE591" s="139"/>
      <c r="AF591" s="139"/>
      <c r="AG591" s="139"/>
      <c r="AH591" s="139"/>
      <c r="AI591" s="139"/>
      <c r="AJ591" s="139"/>
      <c r="AK591" s="139"/>
      <c r="AL591" s="139"/>
      <c r="AM591" s="139"/>
      <c r="AN591" s="139"/>
      <c r="AO591" s="139"/>
      <c r="AP591" s="139"/>
      <c r="AQ591" s="139"/>
      <c r="AR591" s="139"/>
      <c r="AS591" s="139"/>
      <c r="AT591" s="139"/>
      <c r="AU591" s="139"/>
    </row>
    <row r="592" spans="1:47" ht="15.75" customHeight="1" x14ac:dyDescent="0.2">
      <c r="A592" s="27"/>
      <c r="B592" s="136"/>
      <c r="C592" s="141"/>
      <c r="D592" s="138"/>
      <c r="E592" s="139"/>
      <c r="F592" s="139"/>
      <c r="G592" s="139"/>
      <c r="H592" s="139"/>
      <c r="I592" s="139"/>
      <c r="J592" s="139"/>
      <c r="K592" s="139"/>
      <c r="L592" s="139"/>
      <c r="M592" s="139"/>
      <c r="N592" s="139"/>
      <c r="O592" s="139"/>
      <c r="P592" s="139"/>
      <c r="Q592" s="139"/>
      <c r="R592" s="139"/>
      <c r="S592" s="139"/>
      <c r="T592" s="139"/>
      <c r="U592" s="139"/>
      <c r="V592" s="139"/>
      <c r="W592" s="139"/>
      <c r="X592" s="139"/>
      <c r="Y592" s="139"/>
      <c r="Z592" s="139"/>
      <c r="AA592" s="139"/>
      <c r="AB592" s="139"/>
      <c r="AC592" s="139"/>
      <c r="AD592" s="139"/>
      <c r="AE592" s="139"/>
      <c r="AF592" s="139"/>
      <c r="AG592" s="139"/>
      <c r="AH592" s="139"/>
      <c r="AI592" s="139"/>
      <c r="AJ592" s="139"/>
      <c r="AK592" s="139"/>
      <c r="AL592" s="139"/>
      <c r="AM592" s="139"/>
      <c r="AN592" s="139"/>
      <c r="AO592" s="139"/>
      <c r="AP592" s="139"/>
      <c r="AQ592" s="139"/>
      <c r="AR592" s="139"/>
      <c r="AS592" s="139"/>
      <c r="AT592" s="139"/>
      <c r="AU592" s="139"/>
    </row>
    <row r="593" spans="1:47" ht="15.75" customHeight="1" x14ac:dyDescent="0.2">
      <c r="A593" s="27"/>
      <c r="B593" s="136"/>
      <c r="C593" s="141"/>
      <c r="D593" s="138"/>
      <c r="E593" s="139"/>
      <c r="F593" s="139"/>
      <c r="G593" s="139"/>
      <c r="H593" s="139"/>
      <c r="I593" s="139"/>
      <c r="J593" s="139"/>
      <c r="K593" s="139"/>
      <c r="L593" s="139"/>
      <c r="M593" s="139"/>
      <c r="N593" s="139"/>
      <c r="O593" s="139"/>
      <c r="P593" s="139"/>
      <c r="Q593" s="139"/>
      <c r="R593" s="139"/>
      <c r="S593" s="139"/>
      <c r="T593" s="139"/>
      <c r="U593" s="139"/>
      <c r="V593" s="139"/>
      <c r="W593" s="139"/>
      <c r="X593" s="139"/>
      <c r="Y593" s="139"/>
      <c r="Z593" s="139"/>
      <c r="AA593" s="139"/>
      <c r="AB593" s="139"/>
      <c r="AC593" s="139"/>
      <c r="AD593" s="139"/>
      <c r="AE593" s="139"/>
      <c r="AF593" s="139"/>
      <c r="AG593" s="139"/>
      <c r="AH593" s="139"/>
      <c r="AI593" s="139"/>
      <c r="AJ593" s="139"/>
      <c r="AK593" s="139"/>
      <c r="AL593" s="139"/>
      <c r="AM593" s="139"/>
      <c r="AN593" s="139"/>
      <c r="AO593" s="139"/>
      <c r="AP593" s="139"/>
      <c r="AQ593" s="139"/>
      <c r="AR593" s="139"/>
      <c r="AS593" s="139"/>
      <c r="AT593" s="139"/>
      <c r="AU593" s="139"/>
    </row>
    <row r="594" spans="1:47" ht="15.75" customHeight="1" x14ac:dyDescent="0.2">
      <c r="A594" s="27"/>
      <c r="B594" s="136"/>
      <c r="C594" s="141"/>
      <c r="D594" s="138"/>
      <c r="E594" s="139"/>
      <c r="F594" s="139"/>
      <c r="G594" s="139"/>
      <c r="H594" s="139"/>
      <c r="I594" s="139"/>
      <c r="J594" s="139"/>
      <c r="K594" s="139"/>
      <c r="L594" s="139"/>
      <c r="M594" s="139"/>
      <c r="N594" s="139"/>
      <c r="O594" s="139"/>
      <c r="P594" s="139"/>
      <c r="Q594" s="139"/>
      <c r="R594" s="139"/>
      <c r="S594" s="139"/>
      <c r="T594" s="139"/>
      <c r="U594" s="139"/>
      <c r="V594" s="139"/>
      <c r="W594" s="139"/>
      <c r="X594" s="139"/>
      <c r="Y594" s="139"/>
      <c r="Z594" s="139"/>
      <c r="AA594" s="139"/>
      <c r="AB594" s="139"/>
      <c r="AC594" s="139"/>
      <c r="AD594" s="139"/>
      <c r="AE594" s="139"/>
      <c r="AF594" s="139"/>
      <c r="AG594" s="139"/>
      <c r="AH594" s="139"/>
      <c r="AI594" s="139"/>
      <c r="AJ594" s="139"/>
      <c r="AK594" s="139"/>
      <c r="AL594" s="139"/>
      <c r="AM594" s="139"/>
      <c r="AN594" s="139"/>
      <c r="AO594" s="139"/>
      <c r="AP594" s="139"/>
      <c r="AQ594" s="139"/>
      <c r="AR594" s="139"/>
      <c r="AS594" s="139"/>
      <c r="AT594" s="139"/>
      <c r="AU594" s="139"/>
    </row>
    <row r="595" spans="1:47" ht="15.75" customHeight="1" x14ac:dyDescent="0.2">
      <c r="A595" s="27"/>
      <c r="B595" s="136"/>
      <c r="C595" s="141"/>
      <c r="D595" s="138"/>
      <c r="E595" s="139"/>
      <c r="F595" s="139"/>
      <c r="G595" s="139"/>
      <c r="H595" s="139"/>
      <c r="I595" s="139"/>
      <c r="J595" s="139"/>
      <c r="K595" s="139"/>
      <c r="L595" s="139"/>
      <c r="M595" s="139"/>
      <c r="N595" s="139"/>
      <c r="O595" s="139"/>
      <c r="P595" s="139"/>
      <c r="Q595" s="139"/>
      <c r="R595" s="139"/>
      <c r="S595" s="139"/>
      <c r="T595" s="139"/>
      <c r="U595" s="139"/>
      <c r="V595" s="139"/>
      <c r="W595" s="139"/>
      <c r="X595" s="139"/>
      <c r="Y595" s="139"/>
      <c r="Z595" s="139"/>
      <c r="AA595" s="139"/>
      <c r="AB595" s="139"/>
      <c r="AC595" s="139"/>
      <c r="AD595" s="139"/>
      <c r="AE595" s="139"/>
      <c r="AF595" s="139"/>
      <c r="AG595" s="139"/>
      <c r="AH595" s="139"/>
      <c r="AI595" s="139"/>
      <c r="AJ595" s="139"/>
      <c r="AK595" s="139"/>
      <c r="AL595" s="139"/>
      <c r="AM595" s="139"/>
      <c r="AN595" s="139"/>
      <c r="AO595" s="139"/>
      <c r="AP595" s="139"/>
      <c r="AQ595" s="139"/>
      <c r="AR595" s="139"/>
      <c r="AS595" s="139"/>
      <c r="AT595" s="139"/>
      <c r="AU595" s="139"/>
    </row>
    <row r="596" spans="1:47" ht="15.75" customHeight="1" x14ac:dyDescent="0.2">
      <c r="A596" s="27"/>
      <c r="B596" s="136"/>
      <c r="C596" s="141"/>
      <c r="D596" s="138"/>
      <c r="E596" s="139"/>
      <c r="F596" s="139"/>
      <c r="G596" s="139"/>
      <c r="H596" s="139"/>
      <c r="I596" s="139"/>
      <c r="J596" s="139"/>
      <c r="K596" s="139"/>
      <c r="L596" s="139"/>
      <c r="M596" s="139"/>
      <c r="N596" s="139"/>
      <c r="O596" s="139"/>
      <c r="P596" s="139"/>
      <c r="Q596" s="139"/>
      <c r="R596" s="139"/>
      <c r="S596" s="139"/>
      <c r="T596" s="139"/>
      <c r="U596" s="139"/>
      <c r="V596" s="139"/>
      <c r="W596" s="139"/>
      <c r="X596" s="139"/>
      <c r="Y596" s="139"/>
      <c r="Z596" s="139"/>
      <c r="AA596" s="139"/>
      <c r="AB596" s="139"/>
      <c r="AC596" s="139"/>
      <c r="AD596" s="139"/>
      <c r="AE596" s="139"/>
      <c r="AF596" s="139"/>
      <c r="AG596" s="139"/>
      <c r="AH596" s="139"/>
      <c r="AI596" s="139"/>
      <c r="AJ596" s="139"/>
      <c r="AK596" s="139"/>
      <c r="AL596" s="139"/>
      <c r="AM596" s="139"/>
      <c r="AN596" s="139"/>
      <c r="AO596" s="139"/>
      <c r="AP596" s="139"/>
      <c r="AQ596" s="139"/>
      <c r="AR596" s="139"/>
      <c r="AS596" s="139"/>
      <c r="AT596" s="139"/>
      <c r="AU596" s="139"/>
    </row>
    <row r="597" spans="1:47" ht="15.75" customHeight="1" x14ac:dyDescent="0.2">
      <c r="A597" s="27"/>
      <c r="B597" s="136"/>
      <c r="C597" s="141"/>
      <c r="D597" s="138"/>
      <c r="E597" s="139"/>
      <c r="F597" s="139"/>
      <c r="G597" s="139"/>
      <c r="H597" s="139"/>
      <c r="I597" s="139"/>
      <c r="J597" s="139"/>
      <c r="K597" s="139"/>
      <c r="L597" s="139"/>
      <c r="M597" s="139"/>
      <c r="N597" s="139"/>
      <c r="O597" s="139"/>
      <c r="P597" s="139"/>
      <c r="Q597" s="139"/>
      <c r="R597" s="139"/>
      <c r="S597" s="139"/>
      <c r="T597" s="139"/>
      <c r="U597" s="139"/>
      <c r="V597" s="139"/>
      <c r="W597" s="139"/>
      <c r="X597" s="139"/>
      <c r="Y597" s="139"/>
      <c r="Z597" s="139"/>
      <c r="AA597" s="139"/>
      <c r="AB597" s="139"/>
      <c r="AC597" s="139"/>
      <c r="AD597" s="139"/>
      <c r="AE597" s="139"/>
      <c r="AF597" s="139"/>
      <c r="AG597" s="139"/>
      <c r="AH597" s="139"/>
      <c r="AI597" s="139"/>
      <c r="AJ597" s="139"/>
      <c r="AK597" s="139"/>
      <c r="AL597" s="139"/>
      <c r="AM597" s="139"/>
      <c r="AN597" s="139"/>
      <c r="AO597" s="139"/>
      <c r="AP597" s="139"/>
      <c r="AQ597" s="139"/>
      <c r="AR597" s="139"/>
      <c r="AS597" s="139"/>
      <c r="AT597" s="139"/>
      <c r="AU597" s="139"/>
    </row>
    <row r="598" spans="1:47" ht="15.75" customHeight="1" x14ac:dyDescent="0.2">
      <c r="A598" s="27"/>
      <c r="B598" s="136"/>
      <c r="C598" s="141"/>
      <c r="D598" s="138"/>
      <c r="E598" s="139"/>
      <c r="F598" s="139"/>
      <c r="G598" s="139"/>
      <c r="H598" s="139"/>
      <c r="I598" s="139"/>
      <c r="J598" s="139"/>
      <c r="K598" s="139"/>
      <c r="L598" s="139"/>
      <c r="M598" s="139"/>
      <c r="N598" s="139"/>
      <c r="O598" s="139"/>
      <c r="P598" s="139"/>
      <c r="Q598" s="139"/>
      <c r="R598" s="139"/>
      <c r="S598" s="139"/>
      <c r="T598" s="139"/>
      <c r="U598" s="139"/>
      <c r="V598" s="139"/>
      <c r="W598" s="139"/>
      <c r="X598" s="139"/>
      <c r="Y598" s="139"/>
      <c r="Z598" s="139"/>
      <c r="AA598" s="139"/>
      <c r="AB598" s="139"/>
      <c r="AC598" s="139"/>
      <c r="AD598" s="139"/>
      <c r="AE598" s="139"/>
      <c r="AF598" s="139"/>
      <c r="AG598" s="139"/>
      <c r="AH598" s="139"/>
      <c r="AI598" s="139"/>
      <c r="AJ598" s="139"/>
      <c r="AK598" s="139"/>
      <c r="AL598" s="139"/>
      <c r="AM598" s="139"/>
      <c r="AN598" s="139"/>
      <c r="AO598" s="139"/>
      <c r="AP598" s="139"/>
      <c r="AQ598" s="139"/>
      <c r="AR598" s="139"/>
      <c r="AS598" s="139"/>
      <c r="AT598" s="139"/>
      <c r="AU598" s="139"/>
    </row>
    <row r="599" spans="1:47" ht="15.75" customHeight="1" x14ac:dyDescent="0.2">
      <c r="A599" s="27"/>
      <c r="B599" s="136"/>
      <c r="C599" s="141"/>
      <c r="D599" s="138"/>
      <c r="E599" s="139"/>
      <c r="F599" s="139"/>
      <c r="G599" s="139"/>
      <c r="H599" s="139"/>
      <c r="I599" s="139"/>
      <c r="J599" s="139"/>
      <c r="K599" s="139"/>
      <c r="L599" s="139"/>
      <c r="M599" s="139"/>
      <c r="N599" s="139"/>
      <c r="O599" s="139"/>
      <c r="P599" s="139"/>
      <c r="Q599" s="139"/>
      <c r="R599" s="139"/>
      <c r="S599" s="139"/>
      <c r="T599" s="139"/>
      <c r="U599" s="139"/>
      <c r="V599" s="139"/>
      <c r="W599" s="139"/>
      <c r="X599" s="139"/>
      <c r="Y599" s="139"/>
      <c r="Z599" s="139"/>
      <c r="AA599" s="139"/>
      <c r="AB599" s="139"/>
      <c r="AC599" s="139"/>
      <c r="AD599" s="139"/>
      <c r="AE599" s="139"/>
      <c r="AF599" s="139"/>
      <c r="AG599" s="139"/>
      <c r="AH599" s="139"/>
      <c r="AI599" s="139"/>
      <c r="AJ599" s="139"/>
      <c r="AK599" s="139"/>
      <c r="AL599" s="139"/>
      <c r="AM599" s="139"/>
      <c r="AN599" s="139"/>
      <c r="AO599" s="139"/>
      <c r="AP599" s="139"/>
      <c r="AQ599" s="139"/>
      <c r="AR599" s="139"/>
      <c r="AS599" s="139"/>
      <c r="AT599" s="139"/>
      <c r="AU599" s="139"/>
    </row>
    <row r="600" spans="1:47" ht="15.75" customHeight="1" x14ac:dyDescent="0.2">
      <c r="A600" s="27"/>
      <c r="B600" s="136"/>
      <c r="C600" s="141"/>
      <c r="D600" s="138"/>
      <c r="E600" s="139"/>
      <c r="F600" s="139"/>
      <c r="G600" s="139"/>
      <c r="H600" s="139"/>
      <c r="I600" s="139"/>
      <c r="J600" s="139"/>
      <c r="K600" s="139"/>
      <c r="L600" s="139"/>
      <c r="M600" s="139"/>
      <c r="N600" s="139"/>
      <c r="O600" s="139"/>
      <c r="P600" s="139"/>
      <c r="Q600" s="139"/>
      <c r="R600" s="139"/>
      <c r="S600" s="139"/>
      <c r="T600" s="139"/>
      <c r="U600" s="139"/>
      <c r="V600" s="139"/>
      <c r="W600" s="139"/>
      <c r="X600" s="139"/>
      <c r="Y600" s="139"/>
      <c r="Z600" s="139"/>
      <c r="AA600" s="139"/>
      <c r="AB600" s="139"/>
      <c r="AC600" s="139"/>
      <c r="AD600" s="139"/>
      <c r="AE600" s="139"/>
      <c r="AF600" s="139"/>
      <c r="AG600" s="139"/>
      <c r="AH600" s="139"/>
      <c r="AI600" s="139"/>
      <c r="AJ600" s="139"/>
      <c r="AK600" s="139"/>
      <c r="AL600" s="139"/>
      <c r="AM600" s="139"/>
      <c r="AN600" s="139"/>
      <c r="AO600" s="139"/>
      <c r="AP600" s="139"/>
      <c r="AQ600" s="139"/>
      <c r="AR600" s="139"/>
      <c r="AS600" s="139"/>
      <c r="AT600" s="139"/>
      <c r="AU600" s="139"/>
    </row>
    <row r="601" spans="1:47" ht="15.75" customHeight="1" x14ac:dyDescent="0.2">
      <c r="A601" s="27"/>
      <c r="B601" s="136"/>
      <c r="C601" s="141"/>
      <c r="D601" s="138"/>
      <c r="E601" s="139"/>
      <c r="F601" s="139"/>
      <c r="G601" s="139"/>
      <c r="H601" s="139"/>
      <c r="I601" s="139"/>
      <c r="J601" s="139"/>
      <c r="K601" s="139"/>
      <c r="L601" s="139"/>
      <c r="M601" s="139"/>
      <c r="N601" s="139"/>
      <c r="O601" s="139"/>
      <c r="P601" s="139"/>
      <c r="Q601" s="139"/>
      <c r="R601" s="139"/>
      <c r="S601" s="139"/>
      <c r="T601" s="139"/>
      <c r="U601" s="139"/>
      <c r="V601" s="139"/>
      <c r="W601" s="139"/>
      <c r="X601" s="139"/>
      <c r="Y601" s="139"/>
      <c r="Z601" s="139"/>
      <c r="AA601" s="139"/>
      <c r="AB601" s="139"/>
      <c r="AC601" s="139"/>
      <c r="AD601" s="139"/>
      <c r="AE601" s="139"/>
      <c r="AF601" s="139"/>
      <c r="AG601" s="139"/>
      <c r="AH601" s="139"/>
      <c r="AI601" s="139"/>
      <c r="AJ601" s="139"/>
      <c r="AK601" s="139"/>
      <c r="AL601" s="139"/>
      <c r="AM601" s="139"/>
      <c r="AN601" s="139"/>
      <c r="AO601" s="139"/>
      <c r="AP601" s="139"/>
      <c r="AQ601" s="139"/>
      <c r="AR601" s="139"/>
      <c r="AS601" s="139"/>
      <c r="AT601" s="139"/>
      <c r="AU601" s="139"/>
    </row>
    <row r="602" spans="1:47" ht="15.75" customHeight="1" x14ac:dyDescent="0.2">
      <c r="A602" s="27"/>
      <c r="B602" s="136"/>
      <c r="C602" s="141"/>
      <c r="D602" s="138"/>
      <c r="E602" s="139"/>
      <c r="F602" s="139"/>
      <c r="G602" s="139"/>
      <c r="H602" s="139"/>
      <c r="I602" s="139"/>
      <c r="J602" s="139"/>
      <c r="K602" s="139"/>
      <c r="L602" s="139"/>
      <c r="M602" s="139"/>
      <c r="N602" s="139"/>
      <c r="O602" s="139"/>
      <c r="P602" s="139"/>
      <c r="Q602" s="139"/>
      <c r="R602" s="139"/>
      <c r="S602" s="139"/>
      <c r="T602" s="139"/>
      <c r="U602" s="139"/>
      <c r="V602" s="139"/>
      <c r="W602" s="139"/>
      <c r="X602" s="139"/>
      <c r="Y602" s="139"/>
      <c r="Z602" s="139"/>
      <c r="AA602" s="139"/>
      <c r="AB602" s="139"/>
      <c r="AC602" s="139"/>
      <c r="AD602" s="139"/>
      <c r="AE602" s="139"/>
      <c r="AF602" s="139"/>
      <c r="AG602" s="139"/>
      <c r="AH602" s="139"/>
      <c r="AI602" s="139"/>
      <c r="AJ602" s="139"/>
      <c r="AK602" s="139"/>
      <c r="AL602" s="139"/>
      <c r="AM602" s="139"/>
      <c r="AN602" s="139"/>
      <c r="AO602" s="139"/>
      <c r="AP602" s="139"/>
      <c r="AQ602" s="139"/>
      <c r="AR602" s="139"/>
      <c r="AS602" s="139"/>
      <c r="AT602" s="139"/>
      <c r="AU602" s="139"/>
    </row>
    <row r="603" spans="1:47" ht="15.75" customHeight="1" x14ac:dyDescent="0.2">
      <c r="A603" s="27"/>
      <c r="B603" s="136"/>
      <c r="C603" s="141"/>
      <c r="D603" s="138"/>
      <c r="E603" s="139"/>
      <c r="F603" s="139"/>
      <c r="G603" s="139"/>
      <c r="H603" s="139"/>
      <c r="I603" s="139"/>
      <c r="J603" s="139"/>
      <c r="K603" s="139"/>
      <c r="L603" s="139"/>
      <c r="M603" s="139"/>
      <c r="N603" s="139"/>
      <c r="O603" s="139"/>
      <c r="P603" s="139"/>
      <c r="Q603" s="139"/>
      <c r="R603" s="139"/>
      <c r="S603" s="139"/>
      <c r="T603" s="139"/>
      <c r="U603" s="139"/>
      <c r="V603" s="139"/>
      <c r="W603" s="139"/>
      <c r="X603" s="139"/>
      <c r="Y603" s="139"/>
      <c r="Z603" s="139"/>
      <c r="AA603" s="139"/>
      <c r="AB603" s="139"/>
      <c r="AC603" s="139"/>
      <c r="AD603" s="139"/>
      <c r="AE603" s="139"/>
      <c r="AF603" s="139"/>
      <c r="AG603" s="139"/>
      <c r="AH603" s="139"/>
      <c r="AI603" s="139"/>
      <c r="AJ603" s="139"/>
      <c r="AK603" s="139"/>
      <c r="AL603" s="139"/>
      <c r="AM603" s="139"/>
      <c r="AN603" s="139"/>
      <c r="AO603" s="139"/>
      <c r="AP603" s="139"/>
      <c r="AQ603" s="139"/>
      <c r="AR603" s="139"/>
      <c r="AS603" s="139"/>
      <c r="AT603" s="139"/>
      <c r="AU603" s="139"/>
    </row>
    <row r="604" spans="1:47" ht="15.75" customHeight="1" x14ac:dyDescent="0.2">
      <c r="A604" s="27"/>
      <c r="B604" s="136"/>
      <c r="C604" s="141"/>
      <c r="D604" s="138"/>
      <c r="E604" s="139"/>
      <c r="F604" s="139"/>
      <c r="G604" s="139"/>
      <c r="H604" s="139"/>
      <c r="I604" s="139"/>
      <c r="J604" s="139"/>
      <c r="K604" s="139"/>
      <c r="L604" s="139"/>
      <c r="M604" s="139"/>
      <c r="N604" s="139"/>
      <c r="O604" s="139"/>
      <c r="P604" s="139"/>
      <c r="Q604" s="139"/>
      <c r="R604" s="139"/>
      <c r="S604" s="139"/>
      <c r="T604" s="139"/>
      <c r="U604" s="139"/>
      <c r="V604" s="139"/>
      <c r="W604" s="139"/>
      <c r="X604" s="139"/>
      <c r="Y604" s="139"/>
      <c r="Z604" s="139"/>
      <c r="AA604" s="139"/>
      <c r="AB604" s="139"/>
      <c r="AC604" s="139"/>
      <c r="AD604" s="139"/>
      <c r="AE604" s="139"/>
      <c r="AF604" s="139"/>
      <c r="AG604" s="139"/>
      <c r="AH604" s="139"/>
      <c r="AI604" s="139"/>
      <c r="AJ604" s="139"/>
      <c r="AK604" s="139"/>
      <c r="AL604" s="139"/>
      <c r="AM604" s="139"/>
      <c r="AN604" s="139"/>
      <c r="AO604" s="139"/>
      <c r="AP604" s="139"/>
      <c r="AQ604" s="139"/>
      <c r="AR604" s="139"/>
      <c r="AS604" s="139"/>
      <c r="AT604" s="139"/>
      <c r="AU604" s="139"/>
    </row>
    <row r="605" spans="1:47" ht="15.75" customHeight="1" x14ac:dyDescent="0.2">
      <c r="A605" s="27"/>
      <c r="B605" s="136"/>
      <c r="C605" s="141"/>
      <c r="D605" s="138"/>
      <c r="E605" s="139"/>
      <c r="F605" s="139"/>
      <c r="G605" s="139"/>
      <c r="H605" s="139"/>
      <c r="I605" s="139"/>
      <c r="J605" s="139"/>
      <c r="K605" s="139"/>
      <c r="L605" s="139"/>
      <c r="M605" s="139"/>
      <c r="N605" s="139"/>
      <c r="O605" s="139"/>
      <c r="P605" s="139"/>
      <c r="Q605" s="139"/>
      <c r="R605" s="139"/>
      <c r="S605" s="139"/>
      <c r="T605" s="139"/>
      <c r="U605" s="139"/>
      <c r="V605" s="139"/>
      <c r="W605" s="139"/>
      <c r="X605" s="139"/>
      <c r="Y605" s="139"/>
      <c r="Z605" s="139"/>
      <c r="AA605" s="139"/>
      <c r="AB605" s="139"/>
      <c r="AC605" s="139"/>
      <c r="AD605" s="139"/>
      <c r="AE605" s="139"/>
      <c r="AF605" s="139"/>
      <c r="AG605" s="139"/>
      <c r="AH605" s="139"/>
      <c r="AI605" s="139"/>
      <c r="AJ605" s="139"/>
      <c r="AK605" s="139"/>
      <c r="AL605" s="139"/>
      <c r="AM605" s="139"/>
      <c r="AN605" s="139"/>
      <c r="AO605" s="139"/>
      <c r="AP605" s="139"/>
      <c r="AQ605" s="139"/>
      <c r="AR605" s="139"/>
      <c r="AS605" s="139"/>
      <c r="AT605" s="139"/>
      <c r="AU605" s="139"/>
    </row>
    <row r="606" spans="1:47" ht="15.75" customHeight="1" x14ac:dyDescent="0.2">
      <c r="A606" s="27"/>
      <c r="B606" s="136"/>
      <c r="C606" s="141"/>
      <c r="D606" s="138"/>
      <c r="E606" s="139"/>
      <c r="F606" s="139"/>
      <c r="G606" s="139"/>
      <c r="H606" s="139"/>
      <c r="I606" s="139"/>
      <c r="J606" s="139"/>
      <c r="K606" s="139"/>
      <c r="L606" s="139"/>
      <c r="M606" s="139"/>
      <c r="N606" s="139"/>
      <c r="O606" s="139"/>
      <c r="P606" s="139"/>
      <c r="Q606" s="139"/>
      <c r="R606" s="139"/>
      <c r="S606" s="139"/>
      <c r="T606" s="139"/>
      <c r="U606" s="139"/>
      <c r="V606" s="139"/>
      <c r="W606" s="139"/>
      <c r="X606" s="139"/>
      <c r="Y606" s="139"/>
      <c r="Z606" s="139"/>
      <c r="AA606" s="139"/>
      <c r="AB606" s="139"/>
      <c r="AC606" s="139"/>
      <c r="AD606" s="139"/>
      <c r="AE606" s="139"/>
      <c r="AF606" s="139"/>
      <c r="AG606" s="139"/>
      <c r="AH606" s="139"/>
      <c r="AI606" s="139"/>
      <c r="AJ606" s="139"/>
      <c r="AK606" s="139"/>
      <c r="AL606" s="139"/>
      <c r="AM606" s="139"/>
      <c r="AN606" s="139"/>
      <c r="AO606" s="139"/>
      <c r="AP606" s="139"/>
      <c r="AQ606" s="139"/>
      <c r="AR606" s="139"/>
      <c r="AS606" s="139"/>
      <c r="AT606" s="139"/>
      <c r="AU606" s="139"/>
    </row>
    <row r="607" spans="1:47" ht="15.75" customHeight="1" x14ac:dyDescent="0.2">
      <c r="A607" s="27"/>
      <c r="B607" s="136"/>
      <c r="C607" s="141"/>
      <c r="D607" s="138"/>
      <c r="E607" s="139"/>
      <c r="F607" s="139"/>
      <c r="G607" s="139"/>
      <c r="H607" s="139"/>
      <c r="I607" s="139"/>
      <c r="J607" s="139"/>
      <c r="K607" s="139"/>
      <c r="L607" s="139"/>
      <c r="M607" s="139"/>
      <c r="N607" s="139"/>
      <c r="O607" s="139"/>
      <c r="P607" s="139"/>
      <c r="Q607" s="139"/>
      <c r="R607" s="139"/>
      <c r="S607" s="139"/>
      <c r="T607" s="139"/>
      <c r="U607" s="139"/>
      <c r="V607" s="139"/>
      <c r="W607" s="139"/>
      <c r="X607" s="139"/>
      <c r="Y607" s="139"/>
      <c r="Z607" s="139"/>
      <c r="AA607" s="139"/>
      <c r="AB607" s="139"/>
      <c r="AC607" s="139"/>
      <c r="AD607" s="139"/>
      <c r="AE607" s="139"/>
      <c r="AF607" s="139"/>
      <c r="AG607" s="139"/>
      <c r="AH607" s="139"/>
      <c r="AI607" s="139"/>
      <c r="AJ607" s="139"/>
      <c r="AK607" s="139"/>
      <c r="AL607" s="139"/>
      <c r="AM607" s="139"/>
      <c r="AN607" s="139"/>
      <c r="AO607" s="139"/>
      <c r="AP607" s="139"/>
      <c r="AQ607" s="139"/>
      <c r="AR607" s="139"/>
      <c r="AS607" s="139"/>
      <c r="AT607" s="139"/>
      <c r="AU607" s="139"/>
    </row>
    <row r="608" spans="1:47" ht="15.75" customHeight="1" x14ac:dyDescent="0.2">
      <c r="A608" s="27"/>
      <c r="B608" s="136"/>
      <c r="C608" s="141"/>
      <c r="D608" s="138"/>
      <c r="E608" s="139"/>
      <c r="F608" s="139"/>
      <c r="G608" s="139"/>
      <c r="H608" s="139"/>
      <c r="I608" s="139"/>
      <c r="J608" s="139"/>
      <c r="K608" s="139"/>
      <c r="L608" s="139"/>
      <c r="M608" s="139"/>
      <c r="N608" s="139"/>
      <c r="O608" s="139"/>
      <c r="P608" s="139"/>
      <c r="Q608" s="139"/>
      <c r="R608" s="139"/>
      <c r="S608" s="139"/>
      <c r="T608" s="139"/>
      <c r="U608" s="139"/>
      <c r="V608" s="139"/>
      <c r="W608" s="139"/>
      <c r="X608" s="139"/>
      <c r="Y608" s="139"/>
      <c r="Z608" s="139"/>
      <c r="AA608" s="139"/>
      <c r="AB608" s="139"/>
      <c r="AC608" s="139"/>
      <c r="AD608" s="139"/>
      <c r="AE608" s="139"/>
      <c r="AF608" s="139"/>
      <c r="AG608" s="139"/>
      <c r="AH608" s="139"/>
      <c r="AI608" s="139"/>
      <c r="AJ608" s="139"/>
      <c r="AK608" s="139"/>
      <c r="AL608" s="139"/>
      <c r="AM608" s="139"/>
      <c r="AN608" s="139"/>
      <c r="AO608" s="139"/>
      <c r="AP608" s="139"/>
      <c r="AQ608" s="139"/>
      <c r="AR608" s="139"/>
      <c r="AS608" s="139"/>
      <c r="AT608" s="139"/>
      <c r="AU608" s="139"/>
    </row>
    <row r="609" spans="1:47" ht="15.75" customHeight="1" x14ac:dyDescent="0.2">
      <c r="A609" s="27"/>
      <c r="B609" s="136"/>
      <c r="C609" s="141"/>
      <c r="D609" s="138"/>
      <c r="E609" s="139"/>
      <c r="F609" s="139"/>
      <c r="G609" s="139"/>
      <c r="H609" s="139"/>
      <c r="I609" s="139"/>
      <c r="J609" s="139"/>
      <c r="K609" s="139"/>
      <c r="L609" s="139"/>
      <c r="M609" s="139"/>
      <c r="N609" s="139"/>
      <c r="O609" s="139"/>
      <c r="P609" s="139"/>
      <c r="Q609" s="139"/>
      <c r="R609" s="139"/>
      <c r="S609" s="139"/>
      <c r="T609" s="139"/>
      <c r="U609" s="139"/>
      <c r="V609" s="139"/>
      <c r="W609" s="139"/>
      <c r="X609" s="139"/>
      <c r="Y609" s="139"/>
      <c r="Z609" s="139"/>
      <c r="AA609" s="139"/>
      <c r="AB609" s="139"/>
      <c r="AC609" s="139"/>
      <c r="AD609" s="139"/>
      <c r="AE609" s="139"/>
      <c r="AF609" s="139"/>
      <c r="AG609" s="139"/>
      <c r="AH609" s="139"/>
      <c r="AI609" s="139"/>
      <c r="AJ609" s="139"/>
      <c r="AK609" s="139"/>
      <c r="AL609" s="139"/>
      <c r="AM609" s="139"/>
      <c r="AN609" s="139"/>
      <c r="AO609" s="139"/>
      <c r="AP609" s="139"/>
      <c r="AQ609" s="139"/>
      <c r="AR609" s="139"/>
      <c r="AS609" s="139"/>
      <c r="AT609" s="139"/>
      <c r="AU609" s="139"/>
    </row>
    <row r="610" spans="1:47" ht="15.75" customHeight="1" x14ac:dyDescent="0.2">
      <c r="A610" s="27"/>
      <c r="B610" s="136"/>
      <c r="C610" s="141"/>
      <c r="D610" s="138"/>
      <c r="E610" s="139"/>
      <c r="F610" s="139"/>
      <c r="G610" s="139"/>
      <c r="H610" s="139"/>
      <c r="I610" s="139"/>
      <c r="J610" s="139"/>
      <c r="K610" s="139"/>
      <c r="L610" s="139"/>
      <c r="M610" s="139"/>
      <c r="N610" s="139"/>
      <c r="O610" s="139"/>
      <c r="P610" s="139"/>
      <c r="Q610" s="139"/>
      <c r="R610" s="139"/>
      <c r="S610" s="139"/>
      <c r="T610" s="139"/>
      <c r="U610" s="139"/>
      <c r="V610" s="139"/>
      <c r="W610" s="139"/>
      <c r="X610" s="139"/>
      <c r="Y610" s="139"/>
      <c r="Z610" s="139"/>
      <c r="AA610" s="139"/>
      <c r="AB610" s="139"/>
      <c r="AC610" s="139"/>
      <c r="AD610" s="139"/>
      <c r="AE610" s="139"/>
      <c r="AF610" s="139"/>
      <c r="AG610" s="139"/>
      <c r="AH610" s="139"/>
      <c r="AI610" s="139"/>
      <c r="AJ610" s="139"/>
      <c r="AK610" s="139"/>
      <c r="AL610" s="139"/>
      <c r="AM610" s="139"/>
      <c r="AN610" s="139"/>
      <c r="AO610" s="139"/>
      <c r="AP610" s="139"/>
      <c r="AQ610" s="139"/>
      <c r="AR610" s="139"/>
      <c r="AS610" s="139"/>
      <c r="AT610" s="139"/>
      <c r="AU610" s="139"/>
    </row>
    <row r="611" spans="1:47" ht="15.75" customHeight="1" x14ac:dyDescent="0.2">
      <c r="A611" s="27"/>
      <c r="B611" s="136"/>
      <c r="C611" s="141"/>
      <c r="D611" s="138"/>
      <c r="E611" s="139"/>
      <c r="F611" s="139"/>
      <c r="G611" s="139"/>
      <c r="H611" s="139"/>
      <c r="I611" s="139"/>
      <c r="J611" s="139"/>
      <c r="K611" s="139"/>
      <c r="L611" s="139"/>
      <c r="M611" s="139"/>
      <c r="N611" s="139"/>
      <c r="O611" s="139"/>
      <c r="P611" s="139"/>
      <c r="Q611" s="139"/>
      <c r="R611" s="139"/>
      <c r="S611" s="139"/>
      <c r="T611" s="139"/>
      <c r="U611" s="139"/>
      <c r="V611" s="139"/>
      <c r="W611" s="139"/>
      <c r="X611" s="139"/>
      <c r="Y611" s="139"/>
      <c r="Z611" s="139"/>
      <c r="AA611" s="139"/>
      <c r="AB611" s="139"/>
      <c r="AC611" s="139"/>
      <c r="AD611" s="139"/>
      <c r="AE611" s="139"/>
      <c r="AF611" s="139"/>
      <c r="AG611" s="139"/>
      <c r="AH611" s="139"/>
      <c r="AI611" s="139"/>
      <c r="AJ611" s="139"/>
      <c r="AK611" s="139"/>
      <c r="AL611" s="139"/>
      <c r="AM611" s="139"/>
      <c r="AN611" s="139"/>
      <c r="AO611" s="139"/>
      <c r="AP611" s="139"/>
      <c r="AQ611" s="139"/>
      <c r="AR611" s="139"/>
      <c r="AS611" s="139"/>
      <c r="AT611" s="139"/>
      <c r="AU611" s="139"/>
    </row>
    <row r="612" spans="1:47" ht="15.75" customHeight="1" x14ac:dyDescent="0.2">
      <c r="A612" s="27"/>
      <c r="B612" s="136"/>
      <c r="C612" s="141"/>
      <c r="D612" s="138"/>
      <c r="E612" s="139"/>
      <c r="F612" s="139"/>
      <c r="G612" s="139"/>
      <c r="H612" s="139"/>
      <c r="I612" s="139"/>
      <c r="J612" s="139"/>
      <c r="K612" s="139"/>
      <c r="L612" s="139"/>
      <c r="M612" s="139"/>
      <c r="N612" s="139"/>
      <c r="O612" s="139"/>
      <c r="P612" s="139"/>
      <c r="Q612" s="139"/>
      <c r="R612" s="139"/>
      <c r="S612" s="139"/>
      <c r="T612" s="139"/>
      <c r="U612" s="139"/>
      <c r="V612" s="139"/>
      <c r="W612" s="139"/>
      <c r="X612" s="139"/>
      <c r="Y612" s="139"/>
      <c r="Z612" s="139"/>
      <c r="AA612" s="139"/>
      <c r="AB612" s="139"/>
      <c r="AC612" s="139"/>
      <c r="AD612" s="139"/>
      <c r="AE612" s="139"/>
      <c r="AF612" s="139"/>
      <c r="AG612" s="139"/>
      <c r="AH612" s="139"/>
      <c r="AI612" s="139"/>
      <c r="AJ612" s="139"/>
      <c r="AK612" s="139"/>
      <c r="AL612" s="139"/>
      <c r="AM612" s="139"/>
      <c r="AN612" s="139"/>
      <c r="AO612" s="139"/>
      <c r="AP612" s="139"/>
      <c r="AQ612" s="139"/>
      <c r="AR612" s="139"/>
      <c r="AS612" s="139"/>
      <c r="AT612" s="139"/>
      <c r="AU612" s="139"/>
    </row>
    <row r="613" spans="1:47" ht="15.75" customHeight="1" x14ac:dyDescent="0.2">
      <c r="A613" s="27"/>
      <c r="B613" s="136"/>
      <c r="C613" s="141"/>
      <c r="D613" s="138"/>
      <c r="E613" s="139"/>
      <c r="F613" s="139"/>
      <c r="G613" s="139"/>
      <c r="H613" s="139"/>
      <c r="I613" s="139"/>
      <c r="J613" s="139"/>
      <c r="K613" s="139"/>
      <c r="L613" s="139"/>
      <c r="M613" s="139"/>
      <c r="N613" s="139"/>
      <c r="O613" s="139"/>
      <c r="P613" s="139"/>
      <c r="Q613" s="139"/>
      <c r="R613" s="139"/>
      <c r="S613" s="139"/>
      <c r="T613" s="139"/>
      <c r="U613" s="139"/>
      <c r="V613" s="139"/>
      <c r="W613" s="139"/>
      <c r="X613" s="139"/>
      <c r="Y613" s="139"/>
      <c r="Z613" s="139"/>
      <c r="AA613" s="139"/>
      <c r="AB613" s="139"/>
      <c r="AC613" s="139"/>
      <c r="AD613" s="139"/>
      <c r="AE613" s="139"/>
      <c r="AF613" s="139"/>
      <c r="AG613" s="139"/>
      <c r="AH613" s="139"/>
      <c r="AI613" s="139"/>
      <c r="AJ613" s="139"/>
      <c r="AK613" s="139"/>
      <c r="AL613" s="139"/>
      <c r="AM613" s="139"/>
      <c r="AN613" s="139"/>
      <c r="AO613" s="139"/>
      <c r="AP613" s="139"/>
      <c r="AQ613" s="139"/>
      <c r="AR613" s="139"/>
      <c r="AS613" s="139"/>
      <c r="AT613" s="139"/>
      <c r="AU613" s="139"/>
    </row>
    <row r="614" spans="1:47" ht="15.75" customHeight="1" x14ac:dyDescent="0.2">
      <c r="A614" s="27"/>
      <c r="B614" s="136"/>
      <c r="C614" s="141"/>
      <c r="D614" s="138"/>
      <c r="E614" s="139"/>
      <c r="F614" s="139"/>
      <c r="G614" s="139"/>
      <c r="H614" s="139"/>
      <c r="I614" s="139"/>
      <c r="J614" s="139"/>
      <c r="K614" s="139"/>
      <c r="L614" s="139"/>
      <c r="M614" s="139"/>
      <c r="N614" s="139"/>
      <c r="O614" s="139"/>
      <c r="P614" s="139"/>
      <c r="Q614" s="139"/>
      <c r="R614" s="139"/>
      <c r="S614" s="139"/>
      <c r="T614" s="139"/>
      <c r="U614" s="139"/>
      <c r="V614" s="139"/>
      <c r="W614" s="139"/>
      <c r="X614" s="139"/>
      <c r="Y614" s="139"/>
      <c r="Z614" s="139"/>
      <c r="AA614" s="139"/>
      <c r="AB614" s="139"/>
      <c r="AC614" s="139"/>
      <c r="AD614" s="139"/>
      <c r="AE614" s="139"/>
      <c r="AF614" s="139"/>
      <c r="AG614" s="139"/>
      <c r="AH614" s="139"/>
      <c r="AI614" s="139"/>
      <c r="AJ614" s="139"/>
      <c r="AK614" s="139"/>
      <c r="AL614" s="139"/>
      <c r="AM614" s="139"/>
      <c r="AN614" s="139"/>
      <c r="AO614" s="139"/>
      <c r="AP614" s="139"/>
      <c r="AQ614" s="139"/>
      <c r="AR614" s="139"/>
      <c r="AS614" s="139"/>
      <c r="AT614" s="139"/>
      <c r="AU614" s="139"/>
    </row>
    <row r="615" spans="1:47" ht="15.75" customHeight="1" x14ac:dyDescent="0.2">
      <c r="A615" s="27"/>
      <c r="B615" s="136"/>
      <c r="C615" s="141"/>
      <c r="D615" s="138"/>
      <c r="E615" s="139"/>
      <c r="F615" s="139"/>
      <c r="G615" s="139"/>
      <c r="H615" s="139"/>
      <c r="I615" s="139"/>
      <c r="J615" s="139"/>
      <c r="K615" s="139"/>
      <c r="L615" s="139"/>
      <c r="M615" s="139"/>
      <c r="N615" s="139"/>
      <c r="O615" s="139"/>
      <c r="P615" s="139"/>
      <c r="Q615" s="139"/>
      <c r="R615" s="139"/>
      <c r="S615" s="139"/>
      <c r="T615" s="139"/>
      <c r="U615" s="139"/>
      <c r="V615" s="139"/>
      <c r="W615" s="139"/>
      <c r="X615" s="139"/>
      <c r="Y615" s="139"/>
      <c r="Z615" s="139"/>
      <c r="AA615" s="139"/>
      <c r="AB615" s="139"/>
      <c r="AC615" s="139"/>
      <c r="AD615" s="139"/>
      <c r="AE615" s="139"/>
      <c r="AF615" s="139"/>
      <c r="AG615" s="139"/>
      <c r="AH615" s="139"/>
      <c r="AI615" s="139"/>
      <c r="AJ615" s="139"/>
      <c r="AK615" s="139"/>
      <c r="AL615" s="139"/>
      <c r="AM615" s="139"/>
      <c r="AN615" s="139"/>
      <c r="AO615" s="139"/>
      <c r="AP615" s="139"/>
      <c r="AQ615" s="139"/>
      <c r="AR615" s="139"/>
      <c r="AS615" s="139"/>
      <c r="AT615" s="139"/>
      <c r="AU615" s="139"/>
    </row>
    <row r="616" spans="1:47" ht="15.75" customHeight="1" x14ac:dyDescent="0.2">
      <c r="A616" s="27"/>
      <c r="B616" s="136"/>
      <c r="C616" s="141"/>
      <c r="D616" s="138"/>
      <c r="E616" s="139"/>
      <c r="F616" s="139"/>
      <c r="G616" s="139"/>
      <c r="H616" s="139"/>
      <c r="I616" s="139"/>
      <c r="J616" s="139"/>
      <c r="K616" s="139"/>
      <c r="L616" s="139"/>
      <c r="M616" s="139"/>
      <c r="N616" s="139"/>
      <c r="O616" s="139"/>
      <c r="P616" s="139"/>
      <c r="Q616" s="139"/>
      <c r="R616" s="139"/>
      <c r="S616" s="139"/>
      <c r="T616" s="139"/>
      <c r="U616" s="139"/>
      <c r="V616" s="139"/>
      <c r="W616" s="139"/>
      <c r="X616" s="139"/>
      <c r="Y616" s="139"/>
      <c r="Z616" s="139"/>
      <c r="AA616" s="139"/>
      <c r="AB616" s="139"/>
      <c r="AC616" s="139"/>
      <c r="AD616" s="139"/>
      <c r="AE616" s="139"/>
      <c r="AF616" s="139"/>
      <c r="AG616" s="139"/>
      <c r="AH616" s="139"/>
      <c r="AI616" s="139"/>
      <c r="AJ616" s="139"/>
      <c r="AK616" s="139"/>
      <c r="AL616" s="139"/>
      <c r="AM616" s="139"/>
      <c r="AN616" s="139"/>
      <c r="AO616" s="139"/>
      <c r="AP616" s="139"/>
      <c r="AQ616" s="139"/>
      <c r="AR616" s="139"/>
      <c r="AS616" s="139"/>
      <c r="AT616" s="139"/>
      <c r="AU616" s="139"/>
    </row>
    <row r="617" spans="1:47" ht="15.75" customHeight="1" x14ac:dyDescent="0.2">
      <c r="A617" s="27"/>
      <c r="B617" s="136"/>
      <c r="C617" s="141"/>
      <c r="D617" s="138"/>
      <c r="E617" s="139"/>
      <c r="F617" s="139"/>
      <c r="G617" s="139"/>
      <c r="H617" s="139"/>
      <c r="I617" s="139"/>
      <c r="J617" s="139"/>
      <c r="K617" s="139"/>
      <c r="L617" s="139"/>
      <c r="M617" s="139"/>
      <c r="N617" s="139"/>
      <c r="O617" s="139"/>
      <c r="P617" s="139"/>
      <c r="Q617" s="139"/>
      <c r="R617" s="139"/>
      <c r="S617" s="139"/>
      <c r="T617" s="139"/>
      <c r="U617" s="139"/>
      <c r="V617" s="139"/>
      <c r="W617" s="139"/>
      <c r="X617" s="139"/>
      <c r="Y617" s="139"/>
      <c r="Z617" s="139"/>
      <c r="AA617" s="139"/>
      <c r="AB617" s="139"/>
      <c r="AC617" s="139"/>
      <c r="AD617" s="139"/>
      <c r="AE617" s="139"/>
      <c r="AF617" s="139"/>
      <c r="AG617" s="139"/>
      <c r="AH617" s="139"/>
      <c r="AI617" s="139"/>
      <c r="AJ617" s="139"/>
      <c r="AK617" s="139"/>
      <c r="AL617" s="139"/>
      <c r="AM617" s="139"/>
      <c r="AN617" s="139"/>
      <c r="AO617" s="139"/>
      <c r="AP617" s="139"/>
      <c r="AQ617" s="139"/>
      <c r="AR617" s="139"/>
      <c r="AS617" s="139"/>
      <c r="AT617" s="139"/>
      <c r="AU617" s="139"/>
    </row>
    <row r="618" spans="1:47" ht="15.75" customHeight="1" x14ac:dyDescent="0.2">
      <c r="A618" s="27"/>
      <c r="B618" s="136"/>
      <c r="C618" s="141"/>
      <c r="D618" s="138"/>
      <c r="E618" s="139"/>
      <c r="F618" s="139"/>
      <c r="G618" s="139"/>
      <c r="H618" s="139"/>
      <c r="I618" s="139"/>
      <c r="J618" s="139"/>
      <c r="K618" s="139"/>
      <c r="L618" s="139"/>
      <c r="M618" s="139"/>
      <c r="N618" s="139"/>
      <c r="O618" s="139"/>
      <c r="P618" s="139"/>
      <c r="Q618" s="139"/>
      <c r="R618" s="139"/>
      <c r="S618" s="139"/>
      <c r="T618" s="139"/>
      <c r="U618" s="139"/>
      <c r="V618" s="139"/>
      <c r="W618" s="139"/>
      <c r="X618" s="139"/>
      <c r="Y618" s="139"/>
      <c r="Z618" s="139"/>
      <c r="AA618" s="139"/>
      <c r="AB618" s="139"/>
      <c r="AC618" s="139"/>
      <c r="AD618" s="139"/>
      <c r="AE618" s="139"/>
      <c r="AF618" s="139"/>
      <c r="AG618" s="139"/>
      <c r="AH618" s="139"/>
      <c r="AI618" s="139"/>
      <c r="AJ618" s="139"/>
      <c r="AK618" s="139"/>
      <c r="AL618" s="139"/>
      <c r="AM618" s="139"/>
      <c r="AN618" s="139"/>
      <c r="AO618" s="139"/>
      <c r="AP618" s="139"/>
      <c r="AQ618" s="139"/>
      <c r="AR618" s="139"/>
      <c r="AS618" s="139"/>
      <c r="AT618" s="139"/>
      <c r="AU618" s="139"/>
    </row>
    <row r="619" spans="1:47" ht="15.75" customHeight="1" x14ac:dyDescent="0.2">
      <c r="A619" s="27"/>
      <c r="B619" s="136"/>
      <c r="C619" s="141"/>
      <c r="D619" s="138"/>
      <c r="E619" s="139"/>
      <c r="F619" s="139"/>
      <c r="G619" s="139"/>
      <c r="H619" s="139"/>
      <c r="I619" s="139"/>
      <c r="J619" s="139"/>
      <c r="K619" s="139"/>
      <c r="L619" s="139"/>
      <c r="M619" s="139"/>
      <c r="N619" s="139"/>
      <c r="O619" s="139"/>
      <c r="P619" s="139"/>
      <c r="Q619" s="139"/>
      <c r="R619" s="139"/>
      <c r="S619" s="139"/>
      <c r="T619" s="139"/>
      <c r="U619" s="139"/>
      <c r="V619" s="139"/>
      <c r="W619" s="139"/>
      <c r="X619" s="139"/>
      <c r="Y619" s="139"/>
      <c r="Z619" s="139"/>
      <c r="AA619" s="139"/>
      <c r="AB619" s="139"/>
      <c r="AC619" s="139"/>
      <c r="AD619" s="139"/>
      <c r="AE619" s="139"/>
      <c r="AF619" s="139"/>
      <c r="AG619" s="139"/>
      <c r="AH619" s="139"/>
      <c r="AI619" s="139"/>
      <c r="AJ619" s="139"/>
      <c r="AK619" s="139"/>
      <c r="AL619" s="139"/>
      <c r="AM619" s="139"/>
      <c r="AN619" s="139"/>
      <c r="AO619" s="139"/>
      <c r="AP619" s="139"/>
      <c r="AQ619" s="139"/>
      <c r="AR619" s="139"/>
      <c r="AS619" s="139"/>
      <c r="AT619" s="139"/>
      <c r="AU619" s="139"/>
    </row>
    <row r="620" spans="1:47" ht="15.75" customHeight="1" x14ac:dyDescent="0.2">
      <c r="A620" s="27"/>
      <c r="B620" s="136"/>
      <c r="C620" s="141"/>
      <c r="D620" s="138"/>
      <c r="E620" s="139"/>
      <c r="F620" s="139"/>
      <c r="G620" s="139"/>
      <c r="H620" s="139"/>
      <c r="I620" s="139"/>
      <c r="J620" s="139"/>
      <c r="K620" s="139"/>
      <c r="L620" s="139"/>
      <c r="M620" s="139"/>
      <c r="N620" s="139"/>
      <c r="O620" s="139"/>
      <c r="P620" s="139"/>
      <c r="Q620" s="139"/>
      <c r="R620" s="139"/>
      <c r="S620" s="139"/>
      <c r="T620" s="139"/>
      <c r="U620" s="139"/>
      <c r="V620" s="139"/>
      <c r="W620" s="139"/>
      <c r="X620" s="139"/>
      <c r="Y620" s="139"/>
      <c r="Z620" s="139"/>
      <c r="AA620" s="139"/>
      <c r="AB620" s="139"/>
      <c r="AC620" s="139"/>
      <c r="AD620" s="139"/>
      <c r="AE620" s="139"/>
      <c r="AF620" s="139"/>
      <c r="AG620" s="139"/>
      <c r="AH620" s="139"/>
      <c r="AI620" s="139"/>
      <c r="AJ620" s="139"/>
      <c r="AK620" s="139"/>
      <c r="AL620" s="139"/>
      <c r="AM620" s="139"/>
      <c r="AN620" s="139"/>
      <c r="AO620" s="139"/>
      <c r="AP620" s="139"/>
      <c r="AQ620" s="139"/>
      <c r="AR620" s="139"/>
      <c r="AS620" s="139"/>
      <c r="AT620" s="139"/>
      <c r="AU620" s="139"/>
    </row>
    <row r="621" spans="1:47" ht="15.75" customHeight="1" x14ac:dyDescent="0.2">
      <c r="A621" s="27"/>
      <c r="B621" s="136"/>
      <c r="C621" s="141"/>
      <c r="D621" s="138"/>
      <c r="E621" s="139"/>
      <c r="F621" s="139"/>
      <c r="G621" s="139"/>
      <c r="H621" s="139"/>
      <c r="I621" s="139"/>
      <c r="J621" s="139"/>
      <c r="K621" s="139"/>
      <c r="L621" s="139"/>
      <c r="M621" s="139"/>
      <c r="N621" s="139"/>
      <c r="O621" s="139"/>
      <c r="P621" s="139"/>
      <c r="Q621" s="139"/>
      <c r="R621" s="139"/>
      <c r="S621" s="139"/>
      <c r="T621" s="139"/>
      <c r="U621" s="139"/>
      <c r="V621" s="139"/>
      <c r="W621" s="139"/>
      <c r="X621" s="139"/>
      <c r="Y621" s="139"/>
      <c r="Z621" s="139"/>
      <c r="AA621" s="139"/>
      <c r="AB621" s="139"/>
      <c r="AC621" s="139"/>
      <c r="AD621" s="139"/>
      <c r="AE621" s="139"/>
      <c r="AF621" s="139"/>
      <c r="AG621" s="139"/>
      <c r="AH621" s="139"/>
      <c r="AI621" s="139"/>
      <c r="AJ621" s="139"/>
      <c r="AK621" s="139"/>
      <c r="AL621" s="139"/>
      <c r="AM621" s="139"/>
      <c r="AN621" s="139"/>
      <c r="AO621" s="139"/>
      <c r="AP621" s="139"/>
      <c r="AQ621" s="139"/>
      <c r="AR621" s="139"/>
      <c r="AS621" s="139"/>
      <c r="AT621" s="139"/>
      <c r="AU621" s="139"/>
    </row>
    <row r="622" spans="1:47" ht="15.75" customHeight="1" x14ac:dyDescent="0.2">
      <c r="A622" s="27"/>
      <c r="B622" s="136"/>
      <c r="C622" s="141"/>
      <c r="D622" s="138"/>
      <c r="E622" s="139"/>
      <c r="F622" s="139"/>
      <c r="G622" s="139"/>
      <c r="H622" s="139"/>
      <c r="I622" s="139"/>
      <c r="J622" s="139"/>
      <c r="K622" s="139"/>
      <c r="L622" s="139"/>
      <c r="M622" s="139"/>
      <c r="N622" s="139"/>
      <c r="O622" s="139"/>
      <c r="P622" s="139"/>
      <c r="Q622" s="139"/>
      <c r="R622" s="139"/>
      <c r="S622" s="139"/>
      <c r="T622" s="139"/>
      <c r="U622" s="139"/>
      <c r="V622" s="139"/>
      <c r="W622" s="139"/>
      <c r="X622" s="139"/>
      <c r="Y622" s="139"/>
      <c r="Z622" s="139"/>
      <c r="AA622" s="139"/>
      <c r="AB622" s="139"/>
      <c r="AC622" s="139"/>
      <c r="AD622" s="139"/>
      <c r="AE622" s="139"/>
      <c r="AF622" s="139"/>
      <c r="AG622" s="139"/>
      <c r="AH622" s="139"/>
      <c r="AI622" s="139"/>
      <c r="AJ622" s="139"/>
      <c r="AK622" s="139"/>
      <c r="AL622" s="139"/>
      <c r="AM622" s="139"/>
      <c r="AN622" s="139"/>
      <c r="AO622" s="139"/>
      <c r="AP622" s="139"/>
      <c r="AQ622" s="139"/>
      <c r="AR622" s="139"/>
      <c r="AS622" s="139"/>
      <c r="AT622" s="139"/>
      <c r="AU622" s="139"/>
    </row>
    <row r="623" spans="1:47" ht="15.75" customHeight="1" x14ac:dyDescent="0.2">
      <c r="A623" s="27"/>
      <c r="B623" s="136"/>
      <c r="C623" s="141"/>
      <c r="D623" s="138"/>
      <c r="E623" s="139"/>
      <c r="F623" s="139"/>
      <c r="G623" s="139"/>
      <c r="H623" s="139"/>
      <c r="I623" s="139"/>
      <c r="J623" s="139"/>
      <c r="K623" s="139"/>
      <c r="L623" s="139"/>
      <c r="M623" s="139"/>
      <c r="N623" s="139"/>
      <c r="O623" s="139"/>
      <c r="P623" s="139"/>
      <c r="Q623" s="139"/>
      <c r="R623" s="139"/>
      <c r="S623" s="139"/>
      <c r="T623" s="139"/>
      <c r="U623" s="139"/>
      <c r="V623" s="139"/>
      <c r="W623" s="139"/>
      <c r="X623" s="139"/>
      <c r="Y623" s="139"/>
      <c r="Z623" s="139"/>
      <c r="AA623" s="139"/>
      <c r="AB623" s="139"/>
      <c r="AC623" s="139"/>
      <c r="AD623" s="139"/>
      <c r="AE623" s="139"/>
      <c r="AF623" s="139"/>
      <c r="AG623" s="139"/>
      <c r="AH623" s="139"/>
      <c r="AI623" s="139"/>
      <c r="AJ623" s="139"/>
      <c r="AK623" s="139"/>
      <c r="AL623" s="139"/>
      <c r="AM623" s="139"/>
      <c r="AN623" s="139"/>
      <c r="AO623" s="139"/>
      <c r="AP623" s="139"/>
      <c r="AQ623" s="139"/>
      <c r="AR623" s="139"/>
      <c r="AS623" s="139"/>
      <c r="AT623" s="139"/>
      <c r="AU623" s="139"/>
    </row>
    <row r="624" spans="1:47" ht="15.75" customHeight="1" x14ac:dyDescent="0.2">
      <c r="A624" s="27"/>
      <c r="B624" s="136"/>
      <c r="C624" s="141"/>
      <c r="D624" s="138"/>
      <c r="E624" s="139"/>
      <c r="F624" s="139"/>
      <c r="G624" s="139"/>
      <c r="H624" s="139"/>
      <c r="I624" s="139"/>
      <c r="J624" s="139"/>
      <c r="K624" s="139"/>
      <c r="L624" s="139"/>
      <c r="M624" s="139"/>
      <c r="N624" s="139"/>
      <c r="O624" s="139"/>
      <c r="P624" s="139"/>
      <c r="Q624" s="139"/>
      <c r="R624" s="139"/>
      <c r="S624" s="139"/>
      <c r="T624" s="139"/>
      <c r="U624" s="139"/>
      <c r="V624" s="139"/>
      <c r="W624" s="139"/>
      <c r="X624" s="139"/>
      <c r="Y624" s="139"/>
      <c r="Z624" s="139"/>
      <c r="AA624" s="139"/>
      <c r="AB624" s="139"/>
      <c r="AC624" s="139"/>
      <c r="AD624" s="139"/>
      <c r="AE624" s="139"/>
      <c r="AF624" s="139"/>
      <c r="AG624" s="139"/>
      <c r="AH624" s="139"/>
      <c r="AI624" s="139"/>
      <c r="AJ624" s="139"/>
      <c r="AK624" s="139"/>
      <c r="AL624" s="139"/>
      <c r="AM624" s="139"/>
      <c r="AN624" s="139"/>
      <c r="AO624" s="139"/>
      <c r="AP624" s="139"/>
      <c r="AQ624" s="139"/>
      <c r="AR624" s="139"/>
      <c r="AS624" s="139"/>
      <c r="AT624" s="139"/>
      <c r="AU624" s="139"/>
    </row>
    <row r="625" spans="1:47" ht="15.75" customHeight="1" x14ac:dyDescent="0.2">
      <c r="A625" s="27"/>
      <c r="B625" s="136"/>
      <c r="C625" s="141"/>
      <c r="D625" s="138"/>
      <c r="E625" s="139"/>
      <c r="F625" s="139"/>
      <c r="G625" s="139"/>
      <c r="H625" s="139"/>
      <c r="I625" s="139"/>
      <c r="J625" s="139"/>
      <c r="K625" s="139"/>
      <c r="L625" s="139"/>
      <c r="M625" s="139"/>
      <c r="N625" s="139"/>
      <c r="O625" s="139"/>
      <c r="P625" s="139"/>
      <c r="Q625" s="139"/>
      <c r="R625" s="139"/>
      <c r="S625" s="139"/>
      <c r="T625" s="139"/>
      <c r="U625" s="139"/>
      <c r="V625" s="139"/>
      <c r="W625" s="139"/>
      <c r="X625" s="139"/>
      <c r="Y625" s="139"/>
      <c r="Z625" s="139"/>
      <c r="AA625" s="139"/>
      <c r="AB625" s="139"/>
      <c r="AC625" s="139"/>
      <c r="AD625" s="139"/>
      <c r="AE625" s="139"/>
      <c r="AF625" s="139"/>
      <c r="AG625" s="139"/>
      <c r="AH625" s="139"/>
      <c r="AI625" s="139"/>
      <c r="AJ625" s="139"/>
      <c r="AK625" s="139"/>
      <c r="AL625" s="139"/>
      <c r="AM625" s="139"/>
      <c r="AN625" s="139"/>
      <c r="AO625" s="139"/>
      <c r="AP625" s="139"/>
      <c r="AQ625" s="139"/>
      <c r="AR625" s="139"/>
      <c r="AS625" s="139"/>
      <c r="AT625" s="139"/>
      <c r="AU625" s="139"/>
    </row>
    <row r="626" spans="1:47" ht="15.75" customHeight="1" x14ac:dyDescent="0.2">
      <c r="A626" s="27"/>
      <c r="B626" s="136"/>
      <c r="C626" s="141"/>
      <c r="D626" s="138"/>
      <c r="E626" s="139"/>
      <c r="F626" s="139"/>
      <c r="G626" s="139"/>
      <c r="H626" s="139"/>
      <c r="I626" s="139"/>
      <c r="J626" s="139"/>
      <c r="K626" s="139"/>
      <c r="L626" s="139"/>
      <c r="M626" s="139"/>
      <c r="N626" s="139"/>
      <c r="O626" s="139"/>
      <c r="P626" s="139"/>
      <c r="Q626" s="139"/>
      <c r="R626" s="139"/>
      <c r="S626" s="139"/>
      <c r="T626" s="139"/>
      <c r="U626" s="139"/>
      <c r="V626" s="139"/>
      <c r="W626" s="139"/>
      <c r="X626" s="139"/>
      <c r="Y626" s="139"/>
      <c r="Z626" s="139"/>
      <c r="AA626" s="139"/>
      <c r="AB626" s="139"/>
      <c r="AC626" s="139"/>
      <c r="AD626" s="139"/>
      <c r="AE626" s="139"/>
      <c r="AF626" s="139"/>
      <c r="AG626" s="139"/>
      <c r="AH626" s="139"/>
      <c r="AI626" s="139"/>
      <c r="AJ626" s="139"/>
      <c r="AK626" s="139"/>
      <c r="AL626" s="139"/>
      <c r="AM626" s="139"/>
      <c r="AN626" s="139"/>
      <c r="AO626" s="139"/>
      <c r="AP626" s="139"/>
      <c r="AQ626" s="139"/>
      <c r="AR626" s="139"/>
      <c r="AS626" s="139"/>
      <c r="AT626" s="139"/>
      <c r="AU626" s="139"/>
    </row>
    <row r="627" spans="1:47" ht="15.75" customHeight="1" x14ac:dyDescent="0.2">
      <c r="A627" s="27"/>
      <c r="B627" s="136"/>
      <c r="C627" s="141"/>
      <c r="D627" s="138"/>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c r="AA627" s="139"/>
      <c r="AB627" s="139"/>
      <c r="AC627" s="139"/>
      <c r="AD627" s="139"/>
      <c r="AE627" s="139"/>
      <c r="AF627" s="139"/>
      <c r="AG627" s="139"/>
      <c r="AH627" s="139"/>
      <c r="AI627" s="139"/>
      <c r="AJ627" s="139"/>
      <c r="AK627" s="139"/>
      <c r="AL627" s="139"/>
      <c r="AM627" s="139"/>
      <c r="AN627" s="139"/>
      <c r="AO627" s="139"/>
      <c r="AP627" s="139"/>
      <c r="AQ627" s="139"/>
      <c r="AR627" s="139"/>
      <c r="AS627" s="139"/>
      <c r="AT627" s="139"/>
      <c r="AU627" s="139"/>
    </row>
    <row r="628" spans="1:47" ht="15.75" customHeight="1" x14ac:dyDescent="0.2">
      <c r="A628" s="27"/>
      <c r="B628" s="136"/>
      <c r="C628" s="141"/>
      <c r="D628" s="138"/>
      <c r="E628" s="139"/>
      <c r="F628" s="139"/>
      <c r="G628" s="139"/>
      <c r="H628" s="139"/>
      <c r="I628" s="139"/>
      <c r="J628" s="139"/>
      <c r="K628" s="139"/>
      <c r="L628" s="139"/>
      <c r="M628" s="139"/>
      <c r="N628" s="139"/>
      <c r="O628" s="139"/>
      <c r="P628" s="139"/>
      <c r="Q628" s="139"/>
      <c r="R628" s="139"/>
      <c r="S628" s="139"/>
      <c r="T628" s="139"/>
      <c r="U628" s="139"/>
      <c r="V628" s="139"/>
      <c r="W628" s="139"/>
      <c r="X628" s="139"/>
      <c r="Y628" s="139"/>
      <c r="Z628" s="139"/>
      <c r="AA628" s="139"/>
      <c r="AB628" s="139"/>
      <c r="AC628" s="139"/>
      <c r="AD628" s="139"/>
      <c r="AE628" s="139"/>
      <c r="AF628" s="139"/>
      <c r="AG628" s="139"/>
      <c r="AH628" s="139"/>
      <c r="AI628" s="139"/>
      <c r="AJ628" s="139"/>
      <c r="AK628" s="139"/>
      <c r="AL628" s="139"/>
      <c r="AM628" s="139"/>
      <c r="AN628" s="139"/>
      <c r="AO628" s="139"/>
      <c r="AP628" s="139"/>
      <c r="AQ628" s="139"/>
      <c r="AR628" s="139"/>
      <c r="AS628" s="139"/>
      <c r="AT628" s="139"/>
      <c r="AU628" s="139"/>
    </row>
    <row r="629" spans="1:47" ht="15.75" customHeight="1" x14ac:dyDescent="0.2">
      <c r="A629" s="27"/>
      <c r="B629" s="136"/>
      <c r="C629" s="141"/>
      <c r="D629" s="138"/>
      <c r="E629" s="139"/>
      <c r="F629" s="139"/>
      <c r="G629" s="139"/>
      <c r="H629" s="139"/>
      <c r="I629" s="139"/>
      <c r="J629" s="139"/>
      <c r="K629" s="139"/>
      <c r="L629" s="139"/>
      <c r="M629" s="139"/>
      <c r="N629" s="139"/>
      <c r="O629" s="139"/>
      <c r="P629" s="139"/>
      <c r="Q629" s="139"/>
      <c r="R629" s="139"/>
      <c r="S629" s="139"/>
      <c r="T629" s="139"/>
      <c r="U629" s="139"/>
      <c r="V629" s="139"/>
      <c r="W629" s="139"/>
      <c r="X629" s="139"/>
      <c r="Y629" s="139"/>
      <c r="Z629" s="139"/>
      <c r="AA629" s="139"/>
      <c r="AB629" s="139"/>
      <c r="AC629" s="139"/>
      <c r="AD629" s="139"/>
      <c r="AE629" s="139"/>
      <c r="AF629" s="139"/>
      <c r="AG629" s="139"/>
      <c r="AH629" s="139"/>
      <c r="AI629" s="139"/>
      <c r="AJ629" s="139"/>
      <c r="AK629" s="139"/>
      <c r="AL629" s="139"/>
      <c r="AM629" s="139"/>
      <c r="AN629" s="139"/>
      <c r="AO629" s="139"/>
      <c r="AP629" s="139"/>
      <c r="AQ629" s="139"/>
      <c r="AR629" s="139"/>
      <c r="AS629" s="139"/>
      <c r="AT629" s="139"/>
      <c r="AU629" s="139"/>
    </row>
    <row r="630" spans="1:47" ht="15.75" customHeight="1" x14ac:dyDescent="0.2">
      <c r="A630" s="27"/>
      <c r="B630" s="136"/>
      <c r="C630" s="141"/>
      <c r="D630" s="138"/>
      <c r="E630" s="139"/>
      <c r="F630" s="139"/>
      <c r="G630" s="139"/>
      <c r="H630" s="139"/>
      <c r="I630" s="139"/>
      <c r="J630" s="139"/>
      <c r="K630" s="139"/>
      <c r="L630" s="139"/>
      <c r="M630" s="139"/>
      <c r="N630" s="139"/>
      <c r="O630" s="139"/>
      <c r="P630" s="139"/>
      <c r="Q630" s="139"/>
      <c r="R630" s="139"/>
      <c r="S630" s="139"/>
      <c r="T630" s="139"/>
      <c r="U630" s="139"/>
      <c r="V630" s="139"/>
      <c r="W630" s="139"/>
      <c r="X630" s="139"/>
      <c r="Y630" s="139"/>
      <c r="Z630" s="139"/>
      <c r="AA630" s="139"/>
      <c r="AB630" s="139"/>
      <c r="AC630" s="139"/>
      <c r="AD630" s="139"/>
      <c r="AE630" s="139"/>
      <c r="AF630" s="139"/>
      <c r="AG630" s="139"/>
      <c r="AH630" s="139"/>
      <c r="AI630" s="139"/>
      <c r="AJ630" s="139"/>
      <c r="AK630" s="139"/>
      <c r="AL630" s="139"/>
      <c r="AM630" s="139"/>
      <c r="AN630" s="139"/>
      <c r="AO630" s="139"/>
      <c r="AP630" s="139"/>
      <c r="AQ630" s="139"/>
      <c r="AR630" s="139"/>
      <c r="AS630" s="139"/>
      <c r="AT630" s="139"/>
      <c r="AU630" s="139"/>
    </row>
    <row r="631" spans="1:47" ht="15.75" customHeight="1" x14ac:dyDescent="0.2">
      <c r="A631" s="27"/>
      <c r="B631" s="136"/>
      <c r="C631" s="141"/>
      <c r="D631" s="138"/>
      <c r="E631" s="139"/>
      <c r="F631" s="139"/>
      <c r="G631" s="139"/>
      <c r="H631" s="139"/>
      <c r="I631" s="139"/>
      <c r="J631" s="139"/>
      <c r="K631" s="139"/>
      <c r="L631" s="139"/>
      <c r="M631" s="139"/>
      <c r="N631" s="139"/>
      <c r="O631" s="139"/>
      <c r="P631" s="139"/>
      <c r="Q631" s="139"/>
      <c r="R631" s="139"/>
      <c r="S631" s="139"/>
      <c r="T631" s="139"/>
      <c r="U631" s="139"/>
      <c r="V631" s="139"/>
      <c r="W631" s="139"/>
      <c r="X631" s="139"/>
      <c r="Y631" s="139"/>
      <c r="Z631" s="139"/>
      <c r="AA631" s="139"/>
      <c r="AB631" s="139"/>
      <c r="AC631" s="139"/>
      <c r="AD631" s="139"/>
      <c r="AE631" s="139"/>
      <c r="AF631" s="139"/>
      <c r="AG631" s="139"/>
      <c r="AH631" s="139"/>
      <c r="AI631" s="139"/>
      <c r="AJ631" s="139"/>
      <c r="AK631" s="139"/>
      <c r="AL631" s="139"/>
      <c r="AM631" s="139"/>
      <c r="AN631" s="139"/>
      <c r="AO631" s="139"/>
      <c r="AP631" s="139"/>
      <c r="AQ631" s="139"/>
      <c r="AR631" s="139"/>
      <c r="AS631" s="139"/>
      <c r="AT631" s="139"/>
      <c r="AU631" s="139"/>
    </row>
    <row r="632" spans="1:47" ht="15.75" customHeight="1" x14ac:dyDescent="0.2">
      <c r="A632" s="27"/>
      <c r="B632" s="136"/>
      <c r="C632" s="141"/>
      <c r="D632" s="138"/>
      <c r="E632" s="139"/>
      <c r="F632" s="139"/>
      <c r="G632" s="139"/>
      <c r="H632" s="139"/>
      <c r="I632" s="139"/>
      <c r="J632" s="139"/>
      <c r="K632" s="139"/>
      <c r="L632" s="139"/>
      <c r="M632" s="139"/>
      <c r="N632" s="139"/>
      <c r="O632" s="139"/>
      <c r="P632" s="139"/>
      <c r="Q632" s="139"/>
      <c r="R632" s="139"/>
      <c r="S632" s="139"/>
      <c r="T632" s="139"/>
      <c r="U632" s="139"/>
      <c r="V632" s="139"/>
      <c r="W632" s="139"/>
      <c r="X632" s="139"/>
      <c r="Y632" s="139"/>
      <c r="Z632" s="139"/>
      <c r="AA632" s="139"/>
      <c r="AB632" s="139"/>
      <c r="AC632" s="139"/>
      <c r="AD632" s="139"/>
      <c r="AE632" s="139"/>
      <c r="AF632" s="139"/>
      <c r="AG632" s="139"/>
      <c r="AH632" s="139"/>
      <c r="AI632" s="139"/>
      <c r="AJ632" s="139"/>
      <c r="AK632" s="139"/>
      <c r="AL632" s="139"/>
      <c r="AM632" s="139"/>
      <c r="AN632" s="139"/>
      <c r="AO632" s="139"/>
      <c r="AP632" s="139"/>
      <c r="AQ632" s="139"/>
      <c r="AR632" s="139"/>
      <c r="AS632" s="139"/>
      <c r="AT632" s="139"/>
      <c r="AU632" s="139"/>
    </row>
    <row r="633" spans="1:47" ht="15.75" customHeight="1" x14ac:dyDescent="0.2">
      <c r="A633" s="27"/>
      <c r="B633" s="136"/>
      <c r="C633" s="141"/>
      <c r="D633" s="138"/>
      <c r="E633" s="139"/>
      <c r="F633" s="139"/>
      <c r="G633" s="139"/>
      <c r="H633" s="139"/>
      <c r="I633" s="139"/>
      <c r="J633" s="139"/>
      <c r="K633" s="139"/>
      <c r="L633" s="139"/>
      <c r="M633" s="139"/>
      <c r="N633" s="139"/>
      <c r="O633" s="139"/>
      <c r="P633" s="139"/>
      <c r="Q633" s="139"/>
      <c r="R633" s="139"/>
      <c r="S633" s="139"/>
      <c r="T633" s="139"/>
      <c r="U633" s="139"/>
      <c r="V633" s="139"/>
      <c r="W633" s="139"/>
      <c r="X633" s="139"/>
      <c r="Y633" s="139"/>
      <c r="Z633" s="139"/>
      <c r="AA633" s="139"/>
      <c r="AB633" s="139"/>
      <c r="AC633" s="139"/>
      <c r="AD633" s="139"/>
      <c r="AE633" s="139"/>
      <c r="AF633" s="139"/>
      <c r="AG633" s="139"/>
      <c r="AH633" s="139"/>
      <c r="AI633" s="139"/>
      <c r="AJ633" s="139"/>
      <c r="AK633" s="139"/>
      <c r="AL633" s="139"/>
      <c r="AM633" s="139"/>
      <c r="AN633" s="139"/>
      <c r="AO633" s="139"/>
      <c r="AP633" s="139"/>
      <c r="AQ633" s="139"/>
      <c r="AR633" s="139"/>
      <c r="AS633" s="139"/>
      <c r="AT633" s="139"/>
      <c r="AU633" s="139"/>
    </row>
    <row r="634" spans="1:47" ht="15.75" customHeight="1" x14ac:dyDescent="0.2">
      <c r="A634" s="27"/>
      <c r="B634" s="136"/>
      <c r="C634" s="141"/>
      <c r="D634" s="138"/>
      <c r="E634" s="139"/>
      <c r="F634" s="139"/>
      <c r="G634" s="139"/>
      <c r="H634" s="139"/>
      <c r="I634" s="139"/>
      <c r="J634" s="139"/>
      <c r="K634" s="139"/>
      <c r="L634" s="139"/>
      <c r="M634" s="139"/>
      <c r="N634" s="139"/>
      <c r="O634" s="139"/>
      <c r="P634" s="139"/>
      <c r="Q634" s="139"/>
      <c r="R634" s="139"/>
      <c r="S634" s="139"/>
      <c r="T634" s="139"/>
      <c r="U634" s="139"/>
      <c r="V634" s="139"/>
      <c r="W634" s="139"/>
      <c r="X634" s="139"/>
      <c r="Y634" s="139"/>
      <c r="Z634" s="139"/>
      <c r="AA634" s="139"/>
      <c r="AB634" s="139"/>
      <c r="AC634" s="139"/>
      <c r="AD634" s="139"/>
      <c r="AE634" s="139"/>
      <c r="AF634" s="139"/>
      <c r="AG634" s="139"/>
      <c r="AH634" s="139"/>
      <c r="AI634" s="139"/>
      <c r="AJ634" s="139"/>
      <c r="AK634" s="139"/>
      <c r="AL634" s="139"/>
      <c r="AM634" s="139"/>
      <c r="AN634" s="139"/>
      <c r="AO634" s="139"/>
      <c r="AP634" s="139"/>
      <c r="AQ634" s="139"/>
      <c r="AR634" s="139"/>
      <c r="AS634" s="139"/>
      <c r="AT634" s="139"/>
      <c r="AU634" s="139"/>
    </row>
    <row r="635" spans="1:47" ht="15.75" customHeight="1" x14ac:dyDescent="0.2">
      <c r="A635" s="27"/>
      <c r="B635" s="136"/>
      <c r="C635" s="141"/>
      <c r="D635" s="138"/>
      <c r="E635" s="139"/>
      <c r="F635" s="139"/>
      <c r="G635" s="139"/>
      <c r="H635" s="139"/>
      <c r="I635" s="139"/>
      <c r="J635" s="139"/>
      <c r="K635" s="139"/>
      <c r="L635" s="139"/>
      <c r="M635" s="139"/>
      <c r="N635" s="139"/>
      <c r="O635" s="139"/>
      <c r="P635" s="139"/>
      <c r="Q635" s="139"/>
      <c r="R635" s="139"/>
      <c r="S635" s="139"/>
      <c r="T635" s="139"/>
      <c r="U635" s="139"/>
      <c r="V635" s="139"/>
      <c r="W635" s="139"/>
      <c r="X635" s="139"/>
      <c r="Y635" s="139"/>
      <c r="Z635" s="139"/>
      <c r="AA635" s="139"/>
      <c r="AB635" s="139"/>
      <c r="AC635" s="139"/>
      <c r="AD635" s="139"/>
      <c r="AE635" s="139"/>
      <c r="AF635" s="139"/>
      <c r="AG635" s="139"/>
      <c r="AH635" s="139"/>
      <c r="AI635" s="139"/>
      <c r="AJ635" s="139"/>
      <c r="AK635" s="139"/>
      <c r="AL635" s="139"/>
      <c r="AM635" s="139"/>
      <c r="AN635" s="139"/>
      <c r="AO635" s="139"/>
      <c r="AP635" s="139"/>
      <c r="AQ635" s="139"/>
      <c r="AR635" s="139"/>
      <c r="AS635" s="139"/>
      <c r="AT635" s="139"/>
      <c r="AU635" s="139"/>
    </row>
    <row r="636" spans="1:47" ht="15.75" customHeight="1" x14ac:dyDescent="0.2">
      <c r="A636" s="27"/>
      <c r="B636" s="136"/>
      <c r="C636" s="141"/>
      <c r="D636" s="138"/>
      <c r="E636" s="139"/>
      <c r="F636" s="139"/>
      <c r="G636" s="139"/>
      <c r="H636" s="139"/>
      <c r="I636" s="139"/>
      <c r="J636" s="139"/>
      <c r="K636" s="139"/>
      <c r="L636" s="139"/>
      <c r="M636" s="139"/>
      <c r="N636" s="139"/>
      <c r="O636" s="139"/>
      <c r="P636" s="139"/>
      <c r="Q636" s="139"/>
      <c r="R636" s="139"/>
      <c r="S636" s="139"/>
      <c r="T636" s="139"/>
      <c r="U636" s="139"/>
      <c r="V636" s="139"/>
      <c r="W636" s="139"/>
      <c r="X636" s="139"/>
      <c r="Y636" s="139"/>
      <c r="Z636" s="139"/>
      <c r="AA636" s="139"/>
      <c r="AB636" s="139"/>
      <c r="AC636" s="139"/>
      <c r="AD636" s="139"/>
      <c r="AE636" s="139"/>
      <c r="AF636" s="139"/>
      <c r="AG636" s="139"/>
      <c r="AH636" s="139"/>
      <c r="AI636" s="139"/>
      <c r="AJ636" s="139"/>
      <c r="AK636" s="139"/>
      <c r="AL636" s="139"/>
      <c r="AM636" s="139"/>
      <c r="AN636" s="139"/>
      <c r="AO636" s="139"/>
      <c r="AP636" s="139"/>
      <c r="AQ636" s="139"/>
      <c r="AR636" s="139"/>
      <c r="AS636" s="139"/>
      <c r="AT636" s="139"/>
      <c r="AU636" s="139"/>
    </row>
    <row r="637" spans="1:47" ht="15.75" customHeight="1" x14ac:dyDescent="0.2">
      <c r="A637" s="27"/>
      <c r="B637" s="136"/>
      <c r="C637" s="141"/>
      <c r="D637" s="138"/>
      <c r="E637" s="139"/>
      <c r="F637" s="139"/>
      <c r="G637" s="139"/>
      <c r="H637" s="139"/>
      <c r="I637" s="139"/>
      <c r="J637" s="139"/>
      <c r="K637" s="139"/>
      <c r="L637" s="139"/>
      <c r="M637" s="139"/>
      <c r="N637" s="139"/>
      <c r="O637" s="139"/>
      <c r="P637" s="139"/>
      <c r="Q637" s="139"/>
      <c r="R637" s="139"/>
      <c r="S637" s="139"/>
      <c r="T637" s="139"/>
      <c r="U637" s="139"/>
      <c r="V637" s="139"/>
      <c r="W637" s="139"/>
      <c r="X637" s="139"/>
      <c r="Y637" s="139"/>
      <c r="Z637" s="139"/>
      <c r="AA637" s="139"/>
      <c r="AB637" s="139"/>
      <c r="AC637" s="139"/>
      <c r="AD637" s="139"/>
      <c r="AE637" s="139"/>
      <c r="AF637" s="139"/>
      <c r="AG637" s="139"/>
      <c r="AH637" s="139"/>
      <c r="AI637" s="139"/>
      <c r="AJ637" s="139"/>
      <c r="AK637" s="139"/>
      <c r="AL637" s="139"/>
      <c r="AM637" s="139"/>
      <c r="AN637" s="139"/>
      <c r="AO637" s="139"/>
      <c r="AP637" s="139"/>
      <c r="AQ637" s="139"/>
      <c r="AR637" s="139"/>
      <c r="AS637" s="139"/>
      <c r="AT637" s="139"/>
      <c r="AU637" s="139"/>
    </row>
    <row r="638" spans="1:47" ht="15.75" customHeight="1" x14ac:dyDescent="0.2">
      <c r="A638" s="27"/>
      <c r="B638" s="136"/>
      <c r="C638" s="141"/>
      <c r="D638" s="138"/>
      <c r="E638" s="139"/>
      <c r="F638" s="139"/>
      <c r="G638" s="139"/>
      <c r="H638" s="139"/>
      <c r="I638" s="139"/>
      <c r="J638" s="139"/>
      <c r="K638" s="139"/>
      <c r="L638" s="139"/>
      <c r="M638" s="139"/>
      <c r="N638" s="139"/>
      <c r="O638" s="139"/>
      <c r="P638" s="139"/>
      <c r="Q638" s="139"/>
      <c r="R638" s="139"/>
      <c r="S638" s="139"/>
      <c r="T638" s="139"/>
      <c r="U638" s="139"/>
      <c r="V638" s="139"/>
      <c r="W638" s="139"/>
      <c r="X638" s="139"/>
      <c r="Y638" s="139"/>
      <c r="Z638" s="139"/>
      <c r="AA638" s="139"/>
      <c r="AB638" s="139"/>
      <c r="AC638" s="139"/>
      <c r="AD638" s="139"/>
      <c r="AE638" s="139"/>
      <c r="AF638" s="139"/>
      <c r="AG638" s="139"/>
      <c r="AH638" s="139"/>
      <c r="AI638" s="139"/>
      <c r="AJ638" s="139"/>
      <c r="AK638" s="139"/>
      <c r="AL638" s="139"/>
      <c r="AM638" s="139"/>
      <c r="AN638" s="139"/>
      <c r="AO638" s="139"/>
      <c r="AP638" s="139"/>
      <c r="AQ638" s="139"/>
      <c r="AR638" s="139"/>
      <c r="AS638" s="139"/>
      <c r="AT638" s="139"/>
      <c r="AU638" s="139"/>
    </row>
    <row r="639" spans="1:47" ht="15.75" customHeight="1" x14ac:dyDescent="0.2">
      <c r="A639" s="27"/>
      <c r="B639" s="136"/>
      <c r="C639" s="141"/>
      <c r="D639" s="138"/>
      <c r="E639" s="139"/>
      <c r="F639" s="139"/>
      <c r="G639" s="139"/>
      <c r="H639" s="139"/>
      <c r="I639" s="139"/>
      <c r="J639" s="139"/>
      <c r="K639" s="139"/>
      <c r="L639" s="139"/>
      <c r="M639" s="139"/>
      <c r="N639" s="139"/>
      <c r="O639" s="139"/>
      <c r="P639" s="139"/>
      <c r="Q639" s="139"/>
      <c r="R639" s="139"/>
      <c r="S639" s="139"/>
      <c r="T639" s="139"/>
      <c r="U639" s="139"/>
      <c r="V639" s="139"/>
      <c r="W639" s="139"/>
      <c r="X639" s="139"/>
      <c r="Y639" s="139"/>
      <c r="Z639" s="139"/>
      <c r="AA639" s="139"/>
      <c r="AB639" s="139"/>
      <c r="AC639" s="139"/>
      <c r="AD639" s="139"/>
      <c r="AE639" s="139"/>
      <c r="AF639" s="139"/>
      <c r="AG639" s="139"/>
      <c r="AH639" s="139"/>
      <c r="AI639" s="139"/>
      <c r="AJ639" s="139"/>
      <c r="AK639" s="139"/>
      <c r="AL639" s="139"/>
      <c r="AM639" s="139"/>
      <c r="AN639" s="139"/>
      <c r="AO639" s="139"/>
      <c r="AP639" s="139"/>
      <c r="AQ639" s="139"/>
      <c r="AR639" s="139"/>
      <c r="AS639" s="139"/>
      <c r="AT639" s="139"/>
      <c r="AU639" s="139"/>
    </row>
    <row r="640" spans="1:47" ht="15.75" customHeight="1" x14ac:dyDescent="0.2">
      <c r="A640" s="27"/>
      <c r="B640" s="136"/>
      <c r="C640" s="141"/>
      <c r="D640" s="138"/>
      <c r="E640" s="139"/>
      <c r="F640" s="139"/>
      <c r="G640" s="139"/>
      <c r="H640" s="139"/>
      <c r="I640" s="139"/>
      <c r="J640" s="139"/>
      <c r="K640" s="139"/>
      <c r="L640" s="139"/>
      <c r="M640" s="139"/>
      <c r="N640" s="139"/>
      <c r="O640" s="139"/>
      <c r="P640" s="139"/>
      <c r="Q640" s="139"/>
      <c r="R640" s="139"/>
      <c r="S640" s="139"/>
      <c r="T640" s="139"/>
      <c r="U640" s="139"/>
      <c r="V640" s="139"/>
      <c r="W640" s="139"/>
      <c r="X640" s="139"/>
      <c r="Y640" s="139"/>
      <c r="Z640" s="139"/>
      <c r="AA640" s="139"/>
      <c r="AB640" s="139"/>
      <c r="AC640" s="139"/>
      <c r="AD640" s="139"/>
      <c r="AE640" s="139"/>
      <c r="AF640" s="139"/>
      <c r="AG640" s="139"/>
      <c r="AH640" s="139"/>
      <c r="AI640" s="139"/>
      <c r="AJ640" s="139"/>
      <c r="AK640" s="139"/>
      <c r="AL640" s="139"/>
      <c r="AM640" s="139"/>
      <c r="AN640" s="139"/>
      <c r="AO640" s="139"/>
      <c r="AP640" s="139"/>
      <c r="AQ640" s="139"/>
      <c r="AR640" s="139"/>
      <c r="AS640" s="139"/>
      <c r="AT640" s="139"/>
      <c r="AU640" s="139"/>
    </row>
    <row r="641" spans="1:47" ht="15.75" customHeight="1" x14ac:dyDescent="0.2">
      <c r="A641" s="27"/>
      <c r="B641" s="136"/>
      <c r="C641" s="141"/>
      <c r="D641" s="138"/>
      <c r="E641" s="139"/>
      <c r="F641" s="139"/>
      <c r="G641" s="139"/>
      <c r="H641" s="139"/>
      <c r="I641" s="139"/>
      <c r="J641" s="139"/>
      <c r="K641" s="139"/>
      <c r="L641" s="139"/>
      <c r="M641" s="139"/>
      <c r="N641" s="139"/>
      <c r="O641" s="139"/>
      <c r="P641" s="139"/>
      <c r="Q641" s="139"/>
      <c r="R641" s="139"/>
      <c r="S641" s="139"/>
      <c r="T641" s="139"/>
      <c r="U641" s="139"/>
      <c r="V641" s="139"/>
      <c r="W641" s="139"/>
      <c r="X641" s="139"/>
      <c r="Y641" s="139"/>
      <c r="Z641" s="139"/>
      <c r="AA641" s="139"/>
      <c r="AB641" s="139"/>
      <c r="AC641" s="139"/>
      <c r="AD641" s="139"/>
      <c r="AE641" s="139"/>
      <c r="AF641" s="139"/>
      <c r="AG641" s="139"/>
      <c r="AH641" s="139"/>
      <c r="AI641" s="139"/>
      <c r="AJ641" s="139"/>
      <c r="AK641" s="139"/>
      <c r="AL641" s="139"/>
      <c r="AM641" s="139"/>
      <c r="AN641" s="139"/>
      <c r="AO641" s="139"/>
      <c r="AP641" s="139"/>
      <c r="AQ641" s="139"/>
      <c r="AR641" s="139"/>
      <c r="AS641" s="139"/>
      <c r="AT641" s="139"/>
      <c r="AU641" s="139"/>
    </row>
    <row r="642" spans="1:47" ht="15.75" customHeight="1" x14ac:dyDescent="0.2">
      <c r="A642" s="27"/>
      <c r="B642" s="136"/>
      <c r="C642" s="141"/>
      <c r="D642" s="138"/>
      <c r="E642" s="139"/>
      <c r="F642" s="139"/>
      <c r="G642" s="139"/>
      <c r="H642" s="139"/>
      <c r="I642" s="139"/>
      <c r="J642" s="139"/>
      <c r="K642" s="139"/>
      <c r="L642" s="139"/>
      <c r="M642" s="139"/>
      <c r="N642" s="139"/>
      <c r="O642" s="139"/>
      <c r="P642" s="139"/>
      <c r="Q642" s="139"/>
      <c r="R642" s="139"/>
      <c r="S642" s="139"/>
      <c r="T642" s="139"/>
      <c r="U642" s="139"/>
      <c r="V642" s="139"/>
      <c r="W642" s="139"/>
      <c r="X642" s="139"/>
      <c r="Y642" s="139"/>
      <c r="Z642" s="139"/>
      <c r="AA642" s="139"/>
      <c r="AB642" s="139"/>
      <c r="AC642" s="139"/>
      <c r="AD642" s="139"/>
      <c r="AE642" s="139"/>
      <c r="AF642" s="139"/>
      <c r="AG642" s="139"/>
      <c r="AH642" s="139"/>
      <c r="AI642" s="139"/>
      <c r="AJ642" s="139"/>
      <c r="AK642" s="139"/>
      <c r="AL642" s="139"/>
      <c r="AM642" s="139"/>
      <c r="AN642" s="139"/>
      <c r="AO642" s="139"/>
      <c r="AP642" s="139"/>
      <c r="AQ642" s="139"/>
      <c r="AR642" s="139"/>
      <c r="AS642" s="139"/>
      <c r="AT642" s="139"/>
      <c r="AU642" s="139"/>
    </row>
    <row r="643" spans="1:47" ht="15.75" customHeight="1" x14ac:dyDescent="0.2">
      <c r="A643" s="27"/>
      <c r="B643" s="136"/>
      <c r="C643" s="141"/>
      <c r="D643" s="138"/>
      <c r="E643" s="139"/>
      <c r="F643" s="139"/>
      <c r="G643" s="139"/>
      <c r="H643" s="139"/>
      <c r="I643" s="139"/>
      <c r="J643" s="139"/>
      <c r="K643" s="139"/>
      <c r="L643" s="139"/>
      <c r="M643" s="139"/>
      <c r="N643" s="139"/>
      <c r="O643" s="139"/>
      <c r="P643" s="139"/>
      <c r="Q643" s="139"/>
      <c r="R643" s="139"/>
      <c r="S643" s="139"/>
      <c r="T643" s="139"/>
      <c r="U643" s="139"/>
      <c r="V643" s="139"/>
      <c r="W643" s="139"/>
      <c r="X643" s="139"/>
      <c r="Y643" s="139"/>
      <c r="Z643" s="139"/>
      <c r="AA643" s="139"/>
      <c r="AB643" s="139"/>
      <c r="AC643" s="139"/>
      <c r="AD643" s="139"/>
      <c r="AE643" s="139"/>
      <c r="AF643" s="139"/>
      <c r="AG643" s="139"/>
      <c r="AH643" s="139"/>
      <c r="AI643" s="139"/>
      <c r="AJ643" s="139"/>
      <c r="AK643" s="139"/>
      <c r="AL643" s="139"/>
      <c r="AM643" s="139"/>
      <c r="AN643" s="139"/>
      <c r="AO643" s="139"/>
      <c r="AP643" s="139"/>
      <c r="AQ643" s="139"/>
      <c r="AR643" s="139"/>
      <c r="AS643" s="139"/>
      <c r="AT643" s="139"/>
      <c r="AU643" s="139"/>
    </row>
    <row r="644" spans="1:47" ht="15.75" customHeight="1" x14ac:dyDescent="0.2">
      <c r="A644" s="27"/>
      <c r="B644" s="136"/>
      <c r="C644" s="141"/>
      <c r="D644" s="138"/>
      <c r="E644" s="139"/>
      <c r="F644" s="139"/>
      <c r="G644" s="139"/>
      <c r="H644" s="139"/>
      <c r="I644" s="139"/>
      <c r="J644" s="139"/>
      <c r="K644" s="139"/>
      <c r="L644" s="139"/>
      <c r="M644" s="139"/>
      <c r="N644" s="139"/>
      <c r="O644" s="139"/>
      <c r="P644" s="139"/>
      <c r="Q644" s="139"/>
      <c r="R644" s="139"/>
      <c r="S644" s="139"/>
      <c r="T644" s="139"/>
      <c r="U644" s="139"/>
      <c r="V644" s="139"/>
      <c r="W644" s="139"/>
      <c r="X644" s="139"/>
      <c r="Y644" s="139"/>
      <c r="Z644" s="139"/>
      <c r="AA644" s="139"/>
      <c r="AB644" s="139"/>
      <c r="AC644" s="139"/>
      <c r="AD644" s="139"/>
      <c r="AE644" s="139"/>
      <c r="AF644" s="139"/>
      <c r="AG644" s="139"/>
      <c r="AH644" s="139"/>
      <c r="AI644" s="139"/>
      <c r="AJ644" s="139"/>
      <c r="AK644" s="139"/>
      <c r="AL644" s="139"/>
      <c r="AM644" s="139"/>
      <c r="AN644" s="139"/>
      <c r="AO644" s="139"/>
      <c r="AP644" s="139"/>
      <c r="AQ644" s="139"/>
      <c r="AR644" s="139"/>
      <c r="AS644" s="139"/>
      <c r="AT644" s="139"/>
      <c r="AU644" s="139"/>
    </row>
    <row r="645" spans="1:47" ht="15.75" customHeight="1" x14ac:dyDescent="0.2">
      <c r="A645" s="27"/>
      <c r="B645" s="136"/>
      <c r="C645" s="141"/>
      <c r="D645" s="138"/>
      <c r="E645" s="139"/>
      <c r="F645" s="139"/>
      <c r="G645" s="139"/>
      <c r="H645" s="139"/>
      <c r="I645" s="139"/>
      <c r="J645" s="139"/>
      <c r="K645" s="139"/>
      <c r="L645" s="139"/>
      <c r="M645" s="139"/>
      <c r="N645" s="139"/>
      <c r="O645" s="139"/>
      <c r="P645" s="139"/>
      <c r="Q645" s="139"/>
      <c r="R645" s="139"/>
      <c r="S645" s="139"/>
      <c r="T645" s="139"/>
      <c r="U645" s="139"/>
      <c r="V645" s="139"/>
      <c r="W645" s="139"/>
      <c r="X645" s="139"/>
      <c r="Y645" s="139"/>
      <c r="Z645" s="139"/>
      <c r="AA645" s="139"/>
      <c r="AB645" s="139"/>
      <c r="AC645" s="139"/>
      <c r="AD645" s="139"/>
      <c r="AE645" s="139"/>
      <c r="AF645" s="139"/>
      <c r="AG645" s="139"/>
      <c r="AH645" s="139"/>
      <c r="AI645" s="139"/>
      <c r="AJ645" s="139"/>
      <c r="AK645" s="139"/>
      <c r="AL645" s="139"/>
      <c r="AM645" s="139"/>
      <c r="AN645" s="139"/>
      <c r="AO645" s="139"/>
      <c r="AP645" s="139"/>
      <c r="AQ645" s="139"/>
      <c r="AR645" s="139"/>
      <c r="AS645" s="139"/>
      <c r="AT645" s="139"/>
      <c r="AU645" s="139"/>
    </row>
    <row r="646" spans="1:47" ht="15.75" customHeight="1" x14ac:dyDescent="0.2">
      <c r="A646" s="27"/>
      <c r="B646" s="136"/>
      <c r="C646" s="141"/>
      <c r="D646" s="138"/>
      <c r="E646" s="139"/>
      <c r="F646" s="139"/>
      <c r="G646" s="139"/>
      <c r="H646" s="139"/>
      <c r="I646" s="139"/>
      <c r="J646" s="139"/>
      <c r="K646" s="139"/>
      <c r="L646" s="139"/>
      <c r="M646" s="139"/>
      <c r="N646" s="139"/>
      <c r="O646" s="139"/>
      <c r="P646" s="139"/>
      <c r="Q646" s="139"/>
      <c r="R646" s="139"/>
      <c r="S646" s="139"/>
      <c r="T646" s="139"/>
      <c r="U646" s="139"/>
      <c r="V646" s="139"/>
      <c r="W646" s="139"/>
      <c r="X646" s="139"/>
      <c r="Y646" s="139"/>
      <c r="Z646" s="139"/>
      <c r="AA646" s="139"/>
      <c r="AB646" s="139"/>
      <c r="AC646" s="139"/>
      <c r="AD646" s="139"/>
      <c r="AE646" s="139"/>
      <c r="AF646" s="139"/>
      <c r="AG646" s="139"/>
      <c r="AH646" s="139"/>
      <c r="AI646" s="139"/>
      <c r="AJ646" s="139"/>
      <c r="AK646" s="139"/>
      <c r="AL646" s="139"/>
      <c r="AM646" s="139"/>
      <c r="AN646" s="139"/>
      <c r="AO646" s="139"/>
      <c r="AP646" s="139"/>
      <c r="AQ646" s="139"/>
      <c r="AR646" s="139"/>
      <c r="AS646" s="139"/>
      <c r="AT646" s="139"/>
      <c r="AU646" s="139"/>
    </row>
    <row r="647" spans="1:47" ht="15.75" customHeight="1" x14ac:dyDescent="0.2">
      <c r="A647" s="27"/>
      <c r="B647" s="136"/>
      <c r="C647" s="141"/>
      <c r="D647" s="138"/>
      <c r="E647" s="139"/>
      <c r="F647" s="139"/>
      <c r="G647" s="139"/>
      <c r="H647" s="139"/>
      <c r="I647" s="139"/>
      <c r="J647" s="139"/>
      <c r="K647" s="139"/>
      <c r="L647" s="139"/>
      <c r="M647" s="139"/>
      <c r="N647" s="139"/>
      <c r="O647" s="139"/>
      <c r="P647" s="139"/>
      <c r="Q647" s="139"/>
      <c r="R647" s="139"/>
      <c r="S647" s="139"/>
      <c r="T647" s="139"/>
      <c r="U647" s="139"/>
      <c r="V647" s="139"/>
      <c r="W647" s="139"/>
      <c r="X647" s="139"/>
      <c r="Y647" s="139"/>
      <c r="Z647" s="139"/>
      <c r="AA647" s="139"/>
      <c r="AB647" s="139"/>
      <c r="AC647" s="139"/>
      <c r="AD647" s="139"/>
      <c r="AE647" s="139"/>
      <c r="AF647" s="139"/>
      <c r="AG647" s="139"/>
      <c r="AH647" s="139"/>
      <c r="AI647" s="139"/>
      <c r="AJ647" s="139"/>
      <c r="AK647" s="139"/>
      <c r="AL647" s="139"/>
      <c r="AM647" s="139"/>
      <c r="AN647" s="139"/>
      <c r="AO647" s="139"/>
      <c r="AP647" s="139"/>
      <c r="AQ647" s="139"/>
      <c r="AR647" s="139"/>
      <c r="AS647" s="139"/>
      <c r="AT647" s="139"/>
      <c r="AU647" s="139"/>
    </row>
    <row r="648" spans="1:47" ht="15.75" customHeight="1" x14ac:dyDescent="0.2">
      <c r="A648" s="27"/>
      <c r="B648" s="136"/>
      <c r="C648" s="141"/>
      <c r="D648" s="138"/>
      <c r="E648" s="139"/>
      <c r="F648" s="139"/>
      <c r="G648" s="139"/>
      <c r="H648" s="139"/>
      <c r="I648" s="139"/>
      <c r="J648" s="139"/>
      <c r="K648" s="139"/>
      <c r="L648" s="139"/>
      <c r="M648" s="139"/>
      <c r="N648" s="139"/>
      <c r="O648" s="139"/>
      <c r="P648" s="139"/>
      <c r="Q648" s="139"/>
      <c r="R648" s="139"/>
      <c r="S648" s="139"/>
      <c r="T648" s="139"/>
      <c r="U648" s="139"/>
      <c r="V648" s="139"/>
      <c r="W648" s="139"/>
      <c r="X648" s="139"/>
      <c r="Y648" s="139"/>
      <c r="Z648" s="139"/>
      <c r="AA648" s="139"/>
      <c r="AB648" s="139"/>
      <c r="AC648" s="139"/>
      <c r="AD648" s="139"/>
      <c r="AE648" s="139"/>
      <c r="AF648" s="139"/>
      <c r="AG648" s="139"/>
      <c r="AH648" s="139"/>
      <c r="AI648" s="139"/>
      <c r="AJ648" s="139"/>
      <c r="AK648" s="139"/>
      <c r="AL648" s="139"/>
      <c r="AM648" s="139"/>
      <c r="AN648" s="139"/>
      <c r="AO648" s="139"/>
      <c r="AP648" s="139"/>
      <c r="AQ648" s="139"/>
      <c r="AR648" s="139"/>
      <c r="AS648" s="139"/>
      <c r="AT648" s="139"/>
      <c r="AU648" s="139"/>
    </row>
    <row r="649" spans="1:47" ht="15.75" customHeight="1" x14ac:dyDescent="0.2">
      <c r="A649" s="27"/>
      <c r="B649" s="136"/>
      <c r="C649" s="141"/>
      <c r="D649" s="138"/>
      <c r="E649" s="139"/>
      <c r="F649" s="139"/>
      <c r="G649" s="139"/>
      <c r="H649" s="139"/>
      <c r="I649" s="139"/>
      <c r="J649" s="139"/>
      <c r="K649" s="139"/>
      <c r="L649" s="139"/>
      <c r="M649" s="139"/>
      <c r="N649" s="139"/>
      <c r="O649" s="139"/>
      <c r="P649" s="139"/>
      <c r="Q649" s="139"/>
      <c r="R649" s="139"/>
      <c r="S649" s="139"/>
      <c r="T649" s="139"/>
      <c r="U649" s="139"/>
      <c r="V649" s="139"/>
      <c r="W649" s="139"/>
      <c r="X649" s="139"/>
      <c r="Y649" s="139"/>
      <c r="Z649" s="139"/>
      <c r="AA649" s="139"/>
      <c r="AB649" s="139"/>
      <c r="AC649" s="139"/>
      <c r="AD649" s="139"/>
      <c r="AE649" s="139"/>
      <c r="AF649" s="139"/>
      <c r="AG649" s="139"/>
      <c r="AH649" s="139"/>
      <c r="AI649" s="139"/>
      <c r="AJ649" s="139"/>
      <c r="AK649" s="139"/>
      <c r="AL649" s="139"/>
      <c r="AM649" s="139"/>
      <c r="AN649" s="139"/>
      <c r="AO649" s="139"/>
      <c r="AP649" s="139"/>
      <c r="AQ649" s="139"/>
      <c r="AR649" s="139"/>
      <c r="AS649" s="139"/>
      <c r="AT649" s="139"/>
      <c r="AU649" s="139"/>
    </row>
    <row r="650" spans="1:47" ht="15.75" customHeight="1" x14ac:dyDescent="0.2">
      <c r="A650" s="27"/>
      <c r="B650" s="136"/>
      <c r="C650" s="141"/>
      <c r="D650" s="138"/>
      <c r="E650" s="139"/>
      <c r="F650" s="139"/>
      <c r="G650" s="139"/>
      <c r="H650" s="139"/>
      <c r="I650" s="139"/>
      <c r="J650" s="139"/>
      <c r="K650" s="139"/>
      <c r="L650" s="139"/>
      <c r="M650" s="139"/>
      <c r="N650" s="139"/>
      <c r="O650" s="139"/>
      <c r="P650" s="139"/>
      <c r="Q650" s="139"/>
      <c r="R650" s="139"/>
      <c r="S650" s="139"/>
      <c r="T650" s="139"/>
      <c r="U650" s="139"/>
      <c r="V650" s="139"/>
      <c r="W650" s="139"/>
      <c r="X650" s="139"/>
      <c r="Y650" s="139"/>
      <c r="Z650" s="139"/>
      <c r="AA650" s="139"/>
      <c r="AB650" s="139"/>
      <c r="AC650" s="139"/>
      <c r="AD650" s="139"/>
      <c r="AE650" s="139"/>
      <c r="AF650" s="139"/>
      <c r="AG650" s="139"/>
      <c r="AH650" s="139"/>
      <c r="AI650" s="139"/>
      <c r="AJ650" s="139"/>
      <c r="AK650" s="139"/>
      <c r="AL650" s="139"/>
      <c r="AM650" s="139"/>
      <c r="AN650" s="139"/>
      <c r="AO650" s="139"/>
      <c r="AP650" s="139"/>
      <c r="AQ650" s="139"/>
      <c r="AR650" s="139"/>
      <c r="AS650" s="139"/>
      <c r="AT650" s="139"/>
      <c r="AU650" s="139"/>
    </row>
    <row r="651" spans="1:47" ht="15.75" customHeight="1" x14ac:dyDescent="0.2">
      <c r="A651" s="27"/>
      <c r="B651" s="136"/>
      <c r="C651" s="141"/>
      <c r="D651" s="138"/>
      <c r="E651" s="139"/>
      <c r="F651" s="139"/>
      <c r="G651" s="139"/>
      <c r="H651" s="139"/>
      <c r="I651" s="139"/>
      <c r="J651" s="139"/>
      <c r="K651" s="139"/>
      <c r="L651" s="139"/>
      <c r="M651" s="139"/>
      <c r="N651" s="139"/>
      <c r="O651" s="139"/>
      <c r="P651" s="139"/>
      <c r="Q651" s="139"/>
      <c r="R651" s="139"/>
      <c r="S651" s="139"/>
      <c r="T651" s="139"/>
      <c r="U651" s="139"/>
      <c r="V651" s="139"/>
      <c r="W651" s="139"/>
      <c r="X651" s="139"/>
      <c r="Y651" s="139"/>
      <c r="Z651" s="139"/>
      <c r="AA651" s="139"/>
      <c r="AB651" s="139"/>
      <c r="AC651" s="139"/>
      <c r="AD651" s="139"/>
      <c r="AE651" s="139"/>
      <c r="AF651" s="139"/>
      <c r="AG651" s="139"/>
      <c r="AH651" s="139"/>
      <c r="AI651" s="139"/>
      <c r="AJ651" s="139"/>
      <c r="AK651" s="139"/>
      <c r="AL651" s="139"/>
      <c r="AM651" s="139"/>
      <c r="AN651" s="139"/>
      <c r="AO651" s="139"/>
      <c r="AP651" s="139"/>
      <c r="AQ651" s="139"/>
      <c r="AR651" s="139"/>
      <c r="AS651" s="139"/>
      <c r="AT651" s="139"/>
      <c r="AU651" s="139"/>
    </row>
    <row r="652" spans="1:47" ht="15.75" customHeight="1" x14ac:dyDescent="0.2">
      <c r="A652" s="27"/>
      <c r="B652" s="136"/>
      <c r="C652" s="141"/>
      <c r="D652" s="138"/>
      <c r="E652" s="139"/>
      <c r="F652" s="139"/>
      <c r="G652" s="139"/>
      <c r="H652" s="139"/>
      <c r="I652" s="139"/>
      <c r="J652" s="139"/>
      <c r="K652" s="139"/>
      <c r="L652" s="139"/>
      <c r="M652" s="139"/>
      <c r="N652" s="139"/>
      <c r="O652" s="139"/>
      <c r="P652" s="139"/>
      <c r="Q652" s="139"/>
      <c r="R652" s="139"/>
      <c r="S652" s="139"/>
      <c r="T652" s="139"/>
      <c r="U652" s="139"/>
      <c r="V652" s="139"/>
      <c r="W652" s="139"/>
      <c r="X652" s="139"/>
      <c r="Y652" s="139"/>
      <c r="Z652" s="139"/>
      <c r="AA652" s="139"/>
      <c r="AB652" s="139"/>
      <c r="AC652" s="139"/>
      <c r="AD652" s="139"/>
      <c r="AE652" s="139"/>
      <c r="AF652" s="139"/>
      <c r="AG652" s="139"/>
      <c r="AH652" s="139"/>
      <c r="AI652" s="139"/>
      <c r="AJ652" s="139"/>
      <c r="AK652" s="139"/>
      <c r="AL652" s="139"/>
      <c r="AM652" s="139"/>
      <c r="AN652" s="139"/>
      <c r="AO652" s="139"/>
      <c r="AP652" s="139"/>
      <c r="AQ652" s="139"/>
      <c r="AR652" s="139"/>
      <c r="AS652" s="139"/>
      <c r="AT652" s="139"/>
      <c r="AU652" s="139"/>
    </row>
    <row r="653" spans="1:47" ht="15.75" customHeight="1" x14ac:dyDescent="0.2">
      <c r="A653" s="27"/>
      <c r="B653" s="136"/>
      <c r="C653" s="141"/>
      <c r="D653" s="138"/>
      <c r="E653" s="139"/>
      <c r="F653" s="139"/>
      <c r="G653" s="139"/>
      <c r="H653" s="139"/>
      <c r="I653" s="139"/>
      <c r="J653" s="139"/>
      <c r="K653" s="139"/>
      <c r="L653" s="139"/>
      <c r="M653" s="139"/>
      <c r="N653" s="139"/>
      <c r="O653" s="139"/>
      <c r="P653" s="139"/>
      <c r="Q653" s="139"/>
      <c r="R653" s="139"/>
      <c r="S653" s="139"/>
      <c r="T653" s="139"/>
      <c r="U653" s="139"/>
      <c r="V653" s="139"/>
      <c r="W653" s="139"/>
      <c r="X653" s="139"/>
      <c r="Y653" s="139"/>
      <c r="Z653" s="139"/>
      <c r="AA653" s="139"/>
      <c r="AB653" s="139"/>
      <c r="AC653" s="139"/>
      <c r="AD653" s="139"/>
      <c r="AE653" s="139"/>
      <c r="AF653" s="139"/>
      <c r="AG653" s="139"/>
      <c r="AH653" s="139"/>
      <c r="AI653" s="139"/>
      <c r="AJ653" s="139"/>
      <c r="AK653" s="139"/>
      <c r="AL653" s="139"/>
      <c r="AM653" s="139"/>
      <c r="AN653" s="139"/>
      <c r="AO653" s="139"/>
      <c r="AP653" s="139"/>
      <c r="AQ653" s="139"/>
      <c r="AR653" s="139"/>
      <c r="AS653" s="139"/>
      <c r="AT653" s="139"/>
      <c r="AU653" s="139"/>
    </row>
    <row r="654" spans="1:47" ht="15.75" customHeight="1" x14ac:dyDescent="0.2">
      <c r="A654" s="27"/>
      <c r="B654" s="136"/>
      <c r="C654" s="141"/>
      <c r="D654" s="138"/>
      <c r="E654" s="139"/>
      <c r="F654" s="139"/>
      <c r="G654" s="139"/>
      <c r="H654" s="139"/>
      <c r="I654" s="139"/>
      <c r="J654" s="139"/>
      <c r="K654" s="139"/>
      <c r="L654" s="139"/>
      <c r="M654" s="139"/>
      <c r="N654" s="139"/>
      <c r="O654" s="139"/>
      <c r="P654" s="139"/>
      <c r="Q654" s="139"/>
      <c r="R654" s="139"/>
      <c r="S654" s="139"/>
      <c r="T654" s="139"/>
      <c r="U654" s="139"/>
      <c r="V654" s="139"/>
      <c r="W654" s="139"/>
      <c r="X654" s="139"/>
      <c r="Y654" s="139"/>
      <c r="Z654" s="139"/>
      <c r="AA654" s="139"/>
      <c r="AB654" s="139"/>
      <c r="AC654" s="139"/>
      <c r="AD654" s="139"/>
      <c r="AE654" s="139"/>
      <c r="AF654" s="139"/>
      <c r="AG654" s="139"/>
      <c r="AH654" s="139"/>
      <c r="AI654" s="139"/>
      <c r="AJ654" s="139"/>
      <c r="AK654" s="139"/>
      <c r="AL654" s="139"/>
      <c r="AM654" s="139"/>
      <c r="AN654" s="139"/>
      <c r="AO654" s="139"/>
      <c r="AP654" s="139"/>
      <c r="AQ654" s="139"/>
      <c r="AR654" s="139"/>
      <c r="AS654" s="139"/>
      <c r="AT654" s="139"/>
      <c r="AU654" s="139"/>
    </row>
    <row r="655" spans="1:47" ht="15.75" customHeight="1" x14ac:dyDescent="0.2">
      <c r="A655" s="27"/>
      <c r="B655" s="136"/>
      <c r="C655" s="141"/>
      <c r="D655" s="138"/>
      <c r="E655" s="139"/>
      <c r="F655" s="139"/>
      <c r="G655" s="139"/>
      <c r="H655" s="139"/>
      <c r="I655" s="139"/>
      <c r="J655" s="139"/>
      <c r="K655" s="139"/>
      <c r="L655" s="139"/>
      <c r="M655" s="139"/>
      <c r="N655" s="139"/>
      <c r="O655" s="139"/>
      <c r="P655" s="139"/>
      <c r="Q655" s="139"/>
      <c r="R655" s="139"/>
      <c r="S655" s="139"/>
      <c r="T655" s="139"/>
      <c r="U655" s="139"/>
      <c r="V655" s="139"/>
      <c r="W655" s="139"/>
      <c r="X655" s="139"/>
      <c r="Y655" s="139"/>
      <c r="Z655" s="139"/>
      <c r="AA655" s="139"/>
      <c r="AB655" s="139"/>
      <c r="AC655" s="139"/>
      <c r="AD655" s="139"/>
      <c r="AE655" s="139"/>
      <c r="AF655" s="139"/>
      <c r="AG655" s="139"/>
      <c r="AH655" s="139"/>
      <c r="AI655" s="139"/>
      <c r="AJ655" s="139"/>
      <c r="AK655" s="139"/>
      <c r="AL655" s="139"/>
      <c r="AM655" s="139"/>
      <c r="AN655" s="139"/>
      <c r="AO655" s="139"/>
      <c r="AP655" s="139"/>
      <c r="AQ655" s="139"/>
      <c r="AR655" s="139"/>
      <c r="AS655" s="139"/>
      <c r="AT655" s="139"/>
      <c r="AU655" s="139"/>
    </row>
    <row r="656" spans="1:47" ht="15.75" customHeight="1" x14ac:dyDescent="0.2">
      <c r="A656" s="27"/>
      <c r="B656" s="136"/>
      <c r="C656" s="141"/>
      <c r="D656" s="138"/>
      <c r="E656" s="139"/>
      <c r="F656" s="139"/>
      <c r="G656" s="139"/>
      <c r="H656" s="139"/>
      <c r="I656" s="139"/>
      <c r="J656" s="139"/>
      <c r="K656" s="139"/>
      <c r="L656" s="139"/>
      <c r="M656" s="139"/>
      <c r="N656" s="139"/>
      <c r="O656" s="139"/>
      <c r="P656" s="139"/>
      <c r="Q656" s="139"/>
      <c r="R656" s="139"/>
      <c r="S656" s="139"/>
      <c r="T656" s="139"/>
      <c r="U656" s="139"/>
      <c r="V656" s="139"/>
      <c r="W656" s="139"/>
      <c r="X656" s="139"/>
      <c r="Y656" s="139"/>
      <c r="Z656" s="139"/>
      <c r="AA656" s="139"/>
      <c r="AB656" s="139"/>
      <c r="AC656" s="139"/>
      <c r="AD656" s="139"/>
      <c r="AE656" s="139"/>
      <c r="AF656" s="139"/>
      <c r="AG656" s="139"/>
      <c r="AH656" s="139"/>
      <c r="AI656" s="139"/>
      <c r="AJ656" s="139"/>
      <c r="AK656" s="139"/>
      <c r="AL656" s="139"/>
      <c r="AM656" s="139"/>
      <c r="AN656" s="139"/>
      <c r="AO656" s="139"/>
      <c r="AP656" s="139"/>
      <c r="AQ656" s="139"/>
      <c r="AR656" s="139"/>
      <c r="AS656" s="139"/>
      <c r="AT656" s="139"/>
      <c r="AU656" s="139"/>
    </row>
    <row r="657" spans="1:47" ht="15.75" customHeight="1" x14ac:dyDescent="0.2">
      <c r="A657" s="27"/>
      <c r="B657" s="136"/>
      <c r="C657" s="141"/>
      <c r="D657" s="138"/>
      <c r="E657" s="139"/>
      <c r="F657" s="139"/>
      <c r="G657" s="139"/>
      <c r="H657" s="139"/>
      <c r="I657" s="139"/>
      <c r="J657" s="139"/>
      <c r="K657" s="139"/>
      <c r="L657" s="139"/>
      <c r="M657" s="139"/>
      <c r="N657" s="139"/>
      <c r="O657" s="139"/>
      <c r="P657" s="139"/>
      <c r="Q657" s="139"/>
      <c r="R657" s="139"/>
      <c r="S657" s="139"/>
      <c r="T657" s="139"/>
      <c r="U657" s="139"/>
      <c r="V657" s="139"/>
      <c r="W657" s="139"/>
      <c r="X657" s="139"/>
      <c r="Y657" s="139"/>
      <c r="Z657" s="139"/>
      <c r="AA657" s="139"/>
      <c r="AB657" s="139"/>
      <c r="AC657" s="139"/>
      <c r="AD657" s="139"/>
      <c r="AE657" s="139"/>
      <c r="AF657" s="139"/>
      <c r="AG657" s="139"/>
      <c r="AH657" s="139"/>
      <c r="AI657" s="139"/>
      <c r="AJ657" s="139"/>
      <c r="AK657" s="139"/>
      <c r="AL657" s="139"/>
      <c r="AM657" s="139"/>
      <c r="AN657" s="139"/>
      <c r="AO657" s="139"/>
      <c r="AP657" s="139"/>
      <c r="AQ657" s="139"/>
      <c r="AR657" s="139"/>
      <c r="AS657" s="139"/>
      <c r="AT657" s="139"/>
      <c r="AU657" s="139"/>
    </row>
    <row r="658" spans="1:47" ht="15.75" customHeight="1" x14ac:dyDescent="0.2">
      <c r="A658" s="27"/>
      <c r="B658" s="136"/>
      <c r="C658" s="141"/>
      <c r="D658" s="138"/>
      <c r="E658" s="139"/>
      <c r="F658" s="139"/>
      <c r="G658" s="139"/>
      <c r="H658" s="139"/>
      <c r="I658" s="139"/>
      <c r="J658" s="139"/>
      <c r="K658" s="139"/>
      <c r="L658" s="139"/>
      <c r="M658" s="139"/>
      <c r="N658" s="139"/>
      <c r="O658" s="139"/>
      <c r="P658" s="139"/>
      <c r="Q658" s="139"/>
      <c r="R658" s="139"/>
      <c r="S658" s="139"/>
      <c r="T658" s="139"/>
      <c r="U658" s="139"/>
      <c r="V658" s="139"/>
      <c r="W658" s="139"/>
      <c r="X658" s="139"/>
      <c r="Y658" s="139"/>
      <c r="Z658" s="139"/>
      <c r="AA658" s="139"/>
      <c r="AB658" s="139"/>
      <c r="AC658" s="139"/>
      <c r="AD658" s="139"/>
      <c r="AE658" s="139"/>
      <c r="AF658" s="139"/>
      <c r="AG658" s="139"/>
      <c r="AH658" s="139"/>
      <c r="AI658" s="139"/>
      <c r="AJ658" s="139"/>
      <c r="AK658" s="139"/>
      <c r="AL658" s="139"/>
      <c r="AM658" s="139"/>
      <c r="AN658" s="139"/>
      <c r="AO658" s="139"/>
      <c r="AP658" s="139"/>
      <c r="AQ658" s="139"/>
      <c r="AR658" s="139"/>
      <c r="AS658" s="139"/>
      <c r="AT658" s="139"/>
      <c r="AU658" s="139"/>
    </row>
    <row r="659" spans="1:47" ht="15.75" customHeight="1" x14ac:dyDescent="0.2">
      <c r="A659" s="27"/>
      <c r="B659" s="136"/>
      <c r="C659" s="141"/>
      <c r="D659" s="138"/>
      <c r="E659" s="139"/>
      <c r="F659" s="139"/>
      <c r="G659" s="139"/>
      <c r="H659" s="139"/>
      <c r="I659" s="139"/>
      <c r="J659" s="139"/>
      <c r="K659" s="139"/>
      <c r="L659" s="139"/>
      <c r="M659" s="139"/>
      <c r="N659" s="139"/>
      <c r="O659" s="139"/>
      <c r="P659" s="139"/>
      <c r="Q659" s="139"/>
      <c r="R659" s="139"/>
      <c r="S659" s="139"/>
      <c r="T659" s="139"/>
      <c r="U659" s="139"/>
      <c r="V659" s="139"/>
      <c r="W659" s="139"/>
      <c r="X659" s="139"/>
      <c r="Y659" s="139"/>
      <c r="Z659" s="139"/>
      <c r="AA659" s="139"/>
      <c r="AB659" s="139"/>
      <c r="AC659" s="139"/>
      <c r="AD659" s="139"/>
      <c r="AE659" s="139"/>
      <c r="AF659" s="139"/>
      <c r="AG659" s="139"/>
      <c r="AH659" s="139"/>
      <c r="AI659" s="139"/>
      <c r="AJ659" s="139"/>
      <c r="AK659" s="139"/>
      <c r="AL659" s="139"/>
      <c r="AM659" s="139"/>
      <c r="AN659" s="139"/>
      <c r="AO659" s="139"/>
      <c r="AP659" s="139"/>
      <c r="AQ659" s="139"/>
      <c r="AR659" s="139"/>
      <c r="AS659" s="139"/>
      <c r="AT659" s="139"/>
      <c r="AU659" s="139"/>
    </row>
    <row r="660" spans="1:47" ht="15.75" customHeight="1" x14ac:dyDescent="0.2">
      <c r="A660" s="27"/>
      <c r="B660" s="136"/>
      <c r="C660" s="141"/>
      <c r="D660" s="138"/>
      <c r="E660" s="139"/>
      <c r="F660" s="139"/>
      <c r="G660" s="139"/>
      <c r="H660" s="139"/>
      <c r="I660" s="139"/>
      <c r="J660" s="139"/>
      <c r="K660" s="139"/>
      <c r="L660" s="139"/>
      <c r="M660" s="139"/>
      <c r="N660" s="139"/>
      <c r="O660" s="139"/>
      <c r="P660" s="139"/>
      <c r="Q660" s="139"/>
      <c r="R660" s="139"/>
      <c r="S660" s="139"/>
      <c r="T660" s="139"/>
      <c r="U660" s="139"/>
      <c r="V660" s="139"/>
      <c r="W660" s="139"/>
      <c r="X660" s="139"/>
      <c r="Y660" s="139"/>
      <c r="Z660" s="139"/>
      <c r="AA660" s="139"/>
      <c r="AB660" s="139"/>
      <c r="AC660" s="139"/>
      <c r="AD660" s="139"/>
      <c r="AE660" s="139"/>
      <c r="AF660" s="139"/>
      <c r="AG660" s="139"/>
      <c r="AH660" s="139"/>
      <c r="AI660" s="139"/>
      <c r="AJ660" s="139"/>
      <c r="AK660" s="139"/>
      <c r="AL660" s="139"/>
      <c r="AM660" s="139"/>
      <c r="AN660" s="139"/>
      <c r="AO660" s="139"/>
      <c r="AP660" s="139"/>
      <c r="AQ660" s="139"/>
      <c r="AR660" s="139"/>
      <c r="AS660" s="139"/>
      <c r="AT660" s="139"/>
      <c r="AU660" s="139"/>
    </row>
    <row r="661" spans="1:47" ht="15.75" customHeight="1" x14ac:dyDescent="0.2">
      <c r="A661" s="27"/>
      <c r="B661" s="136"/>
      <c r="C661" s="141"/>
      <c r="D661" s="138"/>
      <c r="E661" s="139"/>
      <c r="F661" s="139"/>
      <c r="G661" s="139"/>
      <c r="H661" s="139"/>
      <c r="I661" s="139"/>
      <c r="J661" s="139"/>
      <c r="K661" s="139"/>
      <c r="L661" s="139"/>
      <c r="M661" s="139"/>
      <c r="N661" s="139"/>
      <c r="O661" s="139"/>
      <c r="P661" s="139"/>
      <c r="Q661" s="139"/>
      <c r="R661" s="139"/>
      <c r="S661" s="139"/>
      <c r="T661" s="139"/>
      <c r="U661" s="139"/>
      <c r="V661" s="139"/>
      <c r="W661" s="139"/>
      <c r="X661" s="139"/>
      <c r="Y661" s="139"/>
      <c r="Z661" s="139"/>
      <c r="AA661" s="139"/>
      <c r="AB661" s="139"/>
      <c r="AC661" s="139"/>
      <c r="AD661" s="139"/>
      <c r="AE661" s="139"/>
      <c r="AF661" s="139"/>
      <c r="AG661" s="139"/>
      <c r="AH661" s="139"/>
      <c r="AI661" s="139"/>
      <c r="AJ661" s="139"/>
      <c r="AK661" s="139"/>
      <c r="AL661" s="139"/>
      <c r="AM661" s="139"/>
      <c r="AN661" s="139"/>
      <c r="AO661" s="139"/>
      <c r="AP661" s="139"/>
      <c r="AQ661" s="139"/>
      <c r="AR661" s="139"/>
      <c r="AS661" s="139"/>
      <c r="AT661" s="139"/>
      <c r="AU661" s="139"/>
    </row>
    <row r="662" spans="1:47" ht="15.75" customHeight="1" x14ac:dyDescent="0.2">
      <c r="A662" s="27"/>
      <c r="B662" s="136"/>
      <c r="C662" s="141"/>
      <c r="D662" s="138"/>
      <c r="E662" s="139"/>
      <c r="F662" s="139"/>
      <c r="G662" s="139"/>
      <c r="H662" s="139"/>
      <c r="I662" s="139"/>
      <c r="J662" s="139"/>
      <c r="K662" s="139"/>
      <c r="L662" s="139"/>
      <c r="M662" s="139"/>
      <c r="N662" s="139"/>
      <c r="O662" s="139"/>
      <c r="P662" s="139"/>
      <c r="Q662" s="139"/>
      <c r="R662" s="139"/>
      <c r="S662" s="139"/>
      <c r="T662" s="139"/>
      <c r="U662" s="139"/>
      <c r="V662" s="139"/>
      <c r="W662" s="139"/>
      <c r="X662" s="139"/>
      <c r="Y662" s="139"/>
      <c r="Z662" s="139"/>
      <c r="AA662" s="139"/>
      <c r="AB662" s="139"/>
      <c r="AC662" s="139"/>
      <c r="AD662" s="139"/>
      <c r="AE662" s="139"/>
      <c r="AF662" s="139"/>
      <c r="AG662" s="139"/>
      <c r="AH662" s="139"/>
      <c r="AI662" s="139"/>
      <c r="AJ662" s="139"/>
      <c r="AK662" s="139"/>
      <c r="AL662" s="139"/>
      <c r="AM662" s="139"/>
      <c r="AN662" s="139"/>
      <c r="AO662" s="139"/>
      <c r="AP662" s="139"/>
      <c r="AQ662" s="139"/>
      <c r="AR662" s="139"/>
      <c r="AS662" s="139"/>
      <c r="AT662" s="139"/>
      <c r="AU662" s="139"/>
    </row>
    <row r="663" spans="1:47" ht="15.75" customHeight="1" x14ac:dyDescent="0.2">
      <c r="A663" s="27"/>
      <c r="B663" s="136"/>
      <c r="C663" s="141"/>
      <c r="D663" s="138"/>
      <c r="E663" s="139"/>
      <c r="F663" s="139"/>
      <c r="G663" s="139"/>
      <c r="H663" s="139"/>
      <c r="I663" s="139"/>
      <c r="J663" s="139"/>
      <c r="K663" s="139"/>
      <c r="L663" s="139"/>
      <c r="M663" s="139"/>
      <c r="N663" s="139"/>
      <c r="O663" s="139"/>
      <c r="P663" s="139"/>
      <c r="Q663" s="139"/>
      <c r="R663" s="139"/>
      <c r="S663" s="139"/>
      <c r="T663" s="139"/>
      <c r="U663" s="139"/>
      <c r="V663" s="139"/>
      <c r="W663" s="139"/>
      <c r="X663" s="139"/>
      <c r="Y663" s="139"/>
      <c r="Z663" s="139"/>
      <c r="AA663" s="139"/>
      <c r="AB663" s="139"/>
      <c r="AC663" s="139"/>
      <c r="AD663" s="139"/>
      <c r="AE663" s="139"/>
      <c r="AF663" s="139"/>
      <c r="AG663" s="139"/>
      <c r="AH663" s="139"/>
      <c r="AI663" s="139"/>
      <c r="AJ663" s="139"/>
      <c r="AK663" s="139"/>
      <c r="AL663" s="139"/>
      <c r="AM663" s="139"/>
      <c r="AN663" s="139"/>
      <c r="AO663" s="139"/>
      <c r="AP663" s="139"/>
      <c r="AQ663" s="139"/>
      <c r="AR663" s="139"/>
      <c r="AS663" s="139"/>
      <c r="AT663" s="139"/>
      <c r="AU663" s="139"/>
    </row>
    <row r="664" spans="1:47" ht="15.75" customHeight="1" x14ac:dyDescent="0.2">
      <c r="A664" s="27"/>
      <c r="B664" s="136"/>
      <c r="C664" s="141"/>
      <c r="D664" s="138"/>
      <c r="E664" s="139"/>
      <c r="F664" s="139"/>
      <c r="G664" s="139"/>
      <c r="H664" s="139"/>
      <c r="I664" s="139"/>
      <c r="J664" s="139"/>
      <c r="K664" s="139"/>
      <c r="L664" s="139"/>
      <c r="M664" s="139"/>
      <c r="N664" s="139"/>
      <c r="O664" s="139"/>
      <c r="P664" s="139"/>
      <c r="Q664" s="139"/>
      <c r="R664" s="139"/>
      <c r="S664" s="139"/>
      <c r="T664" s="139"/>
      <c r="U664" s="139"/>
      <c r="V664" s="139"/>
      <c r="W664" s="139"/>
      <c r="X664" s="139"/>
      <c r="Y664" s="139"/>
      <c r="Z664" s="139"/>
      <c r="AA664" s="139"/>
      <c r="AB664" s="139"/>
      <c r="AC664" s="139"/>
      <c r="AD664" s="139"/>
      <c r="AE664" s="139"/>
      <c r="AF664" s="139"/>
      <c r="AG664" s="139"/>
      <c r="AH664" s="139"/>
      <c r="AI664" s="139"/>
      <c r="AJ664" s="139"/>
      <c r="AK664" s="139"/>
      <c r="AL664" s="139"/>
      <c r="AM664" s="139"/>
      <c r="AN664" s="139"/>
      <c r="AO664" s="139"/>
      <c r="AP664" s="139"/>
      <c r="AQ664" s="139"/>
      <c r="AR664" s="139"/>
      <c r="AS664" s="139"/>
      <c r="AT664" s="139"/>
      <c r="AU664" s="139"/>
    </row>
  </sheetData>
  <pageMargins left="0.7" right="0.7" top="0.75" bottom="0.75" header="0" footer="0"/>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E7124-E9CD-4031-A35F-BC6D911AABF5}">
  <dimension ref="A1:AP433"/>
  <sheetViews>
    <sheetView showGridLines="0" topLeftCell="A10" zoomScaleNormal="132" workbookViewId="0">
      <selection activeCell="F173" sqref="F173:F271"/>
    </sheetView>
  </sheetViews>
  <sheetFormatPr baseColWidth="10" defaultColWidth="8.83203125" defaultRowHeight="14" x14ac:dyDescent="0.2"/>
  <cols>
    <col min="1" max="1" width="3.6640625" style="28" customWidth="1"/>
    <col min="2" max="2" width="16.83203125" style="28" customWidth="1"/>
    <col min="3" max="3" width="15.33203125" style="28" customWidth="1"/>
    <col min="4" max="4" width="12.33203125" style="28" customWidth="1"/>
    <col min="5" max="5" width="14.1640625" style="28" customWidth="1"/>
    <col min="6" max="6" width="11.83203125" style="28" customWidth="1"/>
    <col min="7" max="7" width="15" style="28" customWidth="1"/>
    <col min="8" max="8" width="24.33203125" style="28" customWidth="1"/>
    <col min="9" max="9" width="14.1640625" style="28" customWidth="1"/>
    <col min="10" max="10" width="16.5" style="28" customWidth="1"/>
    <col min="11" max="11" width="13.83203125" style="28" bestFit="1" customWidth="1"/>
    <col min="12" max="12" width="24.83203125" style="28" customWidth="1"/>
    <col min="13" max="13" width="14.5" style="28" customWidth="1"/>
    <col min="14" max="14" width="8.83203125" style="28"/>
    <col min="15" max="15" width="16.6640625" style="28" customWidth="1"/>
    <col min="16" max="16" width="15.5" style="28" customWidth="1"/>
    <col min="17" max="17" width="18.6640625" style="28" bestFit="1" customWidth="1"/>
    <col min="18" max="18" width="6.6640625" style="28" bestFit="1" customWidth="1"/>
    <col min="19" max="19" width="11.33203125" style="28" customWidth="1"/>
    <col min="20" max="21" width="10.5" style="28" bestFit="1" customWidth="1"/>
    <col min="22" max="23" width="9" style="28" bestFit="1" customWidth="1"/>
    <col min="24" max="24" width="15.33203125" style="28" customWidth="1"/>
    <col min="25" max="29" width="8.83203125" style="28"/>
    <col min="30" max="30" width="11.6640625" style="28" customWidth="1"/>
    <col min="31" max="31" width="10.5" style="28" customWidth="1"/>
    <col min="32" max="16384" width="8.83203125" style="28"/>
  </cols>
  <sheetData>
    <row r="1" spans="1:16" x14ac:dyDescent="0.2">
      <c r="B1" s="153" t="s">
        <v>1956</v>
      </c>
      <c r="C1" s="156"/>
    </row>
    <row r="2" spans="1:16" x14ac:dyDescent="0.2">
      <c r="A2" s="153"/>
      <c r="B2" s="261" t="s">
        <v>1958</v>
      </c>
      <c r="C2" s="257">
        <f>'is-bs-cfs'!V32</f>
        <v>1.1136210606464954</v>
      </c>
    </row>
    <row r="3" spans="1:16" x14ac:dyDescent="0.2">
      <c r="A3" s="153"/>
      <c r="B3" s="262" t="s">
        <v>1957</v>
      </c>
      <c r="C3" s="258">
        <f>'is-bs-cfs'!V23</f>
        <v>2.1698170093393436</v>
      </c>
    </row>
    <row r="4" spans="1:16" x14ac:dyDescent="0.2">
      <c r="A4" s="153"/>
      <c r="B4" s="262" t="s">
        <v>579</v>
      </c>
      <c r="C4" s="258">
        <f>'is-bs-cfs'!V52</f>
        <v>0.47720997272714427</v>
      </c>
    </row>
    <row r="5" spans="1:16" x14ac:dyDescent="0.2">
      <c r="A5" s="153"/>
      <c r="B5" s="262" t="s">
        <v>479</v>
      </c>
      <c r="C5" s="259">
        <f>'is-bs-cfs'!V28</f>
        <v>26376.732520325204</v>
      </c>
    </row>
    <row r="6" spans="1:16" x14ac:dyDescent="0.2">
      <c r="A6" s="153"/>
      <c r="B6" s="262" t="s">
        <v>1960</v>
      </c>
      <c r="C6" s="259">
        <f>SUM('is-bs-cfs'!V46,'is-bs-cfs'!U46,'is-bs-cfs'!S46,'is-bs-cfs'!R46)</f>
        <v>6591378.7899999991</v>
      </c>
    </row>
    <row r="7" spans="1:16" x14ac:dyDescent="0.2">
      <c r="A7" s="153"/>
      <c r="B7" s="263" t="s">
        <v>1959</v>
      </c>
      <c r="C7" s="260">
        <f>SUM('is-bs-cfs'!W46,'is-bs-cfs'!X46,'is-bs-cfs'!Z46,'is-bs-cfs'!AA46)</f>
        <v>16524356</v>
      </c>
    </row>
    <row r="8" spans="1:16" x14ac:dyDescent="0.2">
      <c r="A8" s="153"/>
      <c r="P8" s="251"/>
    </row>
    <row r="9" spans="1:16" x14ac:dyDescent="0.2">
      <c r="A9" s="153"/>
      <c r="B9" s="153" t="s">
        <v>783</v>
      </c>
      <c r="F9" s="266" t="s">
        <v>1962</v>
      </c>
      <c r="P9" s="250"/>
    </row>
    <row r="10" spans="1:16" s="149" customFormat="1" ht="24" x14ac:dyDescent="0.2">
      <c r="B10" s="157" t="s">
        <v>572</v>
      </c>
      <c r="C10" s="157" t="s">
        <v>573</v>
      </c>
      <c r="D10" s="157" t="s">
        <v>574</v>
      </c>
      <c r="E10" s="157" t="s">
        <v>575</v>
      </c>
      <c r="F10" s="157" t="s">
        <v>576</v>
      </c>
      <c r="G10" s="157" t="s">
        <v>577</v>
      </c>
      <c r="H10" s="157" t="s">
        <v>578</v>
      </c>
      <c r="I10" s="157" t="s">
        <v>579</v>
      </c>
      <c r="J10" s="157" t="s">
        <v>580</v>
      </c>
      <c r="K10" s="157" t="s">
        <v>479</v>
      </c>
      <c r="L10" s="157" t="s">
        <v>581</v>
      </c>
      <c r="M10" s="28"/>
    </row>
    <row r="11" spans="1:16" hidden="1" x14ac:dyDescent="0.2">
      <c r="B11" s="168" t="s">
        <v>582</v>
      </c>
      <c r="C11" s="168" t="s">
        <v>583</v>
      </c>
      <c r="D11" s="168">
        <v>2020</v>
      </c>
      <c r="E11" s="169">
        <v>17.68</v>
      </c>
      <c r="F11" s="170">
        <v>1.79</v>
      </c>
      <c r="G11" s="171">
        <v>0.46</v>
      </c>
      <c r="H11" s="170">
        <v>0.66</v>
      </c>
      <c r="I11" s="170">
        <v>0.88200000000000001</v>
      </c>
      <c r="J11" s="172">
        <v>3</v>
      </c>
      <c r="K11" s="173">
        <v>55438</v>
      </c>
      <c r="L11" s="170">
        <v>1.48</v>
      </c>
    </row>
    <row r="12" spans="1:16" hidden="1" x14ac:dyDescent="0.2">
      <c r="B12" s="168" t="s">
        <v>584</v>
      </c>
      <c r="C12" s="168" t="s">
        <v>585</v>
      </c>
      <c r="D12" s="168">
        <v>2019</v>
      </c>
      <c r="E12" s="169">
        <v>30.48</v>
      </c>
      <c r="F12" s="170">
        <v>1.69</v>
      </c>
      <c r="G12" s="171">
        <v>0.56999999999999995</v>
      </c>
      <c r="H12" s="170">
        <v>1.06</v>
      </c>
      <c r="I12" s="170">
        <v>0.64800000000000002</v>
      </c>
      <c r="J12" s="172">
        <v>2.1</v>
      </c>
      <c r="K12" s="173">
        <v>84937</v>
      </c>
      <c r="L12" s="170">
        <v>1.8</v>
      </c>
    </row>
    <row r="13" spans="1:16" hidden="1" x14ac:dyDescent="0.2">
      <c r="B13" s="168" t="s">
        <v>586</v>
      </c>
      <c r="C13" s="168" t="s">
        <v>587</v>
      </c>
      <c r="D13" s="168">
        <v>2020</v>
      </c>
      <c r="E13" s="169">
        <v>0.92</v>
      </c>
      <c r="F13" s="170">
        <v>1.62</v>
      </c>
      <c r="G13" s="171">
        <v>0.88</v>
      </c>
      <c r="H13" s="170">
        <v>1.4419999999999999</v>
      </c>
      <c r="I13" s="170">
        <v>0.42099999999999999</v>
      </c>
      <c r="J13" s="172">
        <v>1.7</v>
      </c>
      <c r="K13" s="173">
        <v>329997</v>
      </c>
      <c r="L13" s="170">
        <v>1.42</v>
      </c>
    </row>
    <row r="14" spans="1:16" hidden="1" x14ac:dyDescent="0.2">
      <c r="B14" s="168" t="s">
        <v>588</v>
      </c>
      <c r="C14" s="168" t="s">
        <v>589</v>
      </c>
      <c r="D14" s="168">
        <v>2020</v>
      </c>
      <c r="E14" s="169">
        <v>11.5</v>
      </c>
      <c r="F14" s="170">
        <v>1.53</v>
      </c>
      <c r="G14" s="171">
        <v>1.46</v>
      </c>
      <c r="H14" s="170">
        <v>0.66</v>
      </c>
      <c r="I14" s="170">
        <v>0.876</v>
      </c>
      <c r="J14" s="172"/>
      <c r="K14" s="173">
        <v>344828</v>
      </c>
      <c r="L14" s="170">
        <v>1.3</v>
      </c>
    </row>
    <row r="15" spans="1:16" hidden="1" x14ac:dyDescent="0.2">
      <c r="B15" s="168" t="s">
        <v>590</v>
      </c>
      <c r="C15" s="168" t="s">
        <v>591</v>
      </c>
      <c r="D15" s="168">
        <v>2019</v>
      </c>
      <c r="E15" s="169">
        <v>17.649999999999999</v>
      </c>
      <c r="F15" s="170">
        <v>1.51</v>
      </c>
      <c r="G15" s="171">
        <v>1.1000000000000001</v>
      </c>
      <c r="H15" s="170">
        <v>0.70499999999999996</v>
      </c>
      <c r="I15" s="170">
        <v>0.79</v>
      </c>
      <c r="J15" s="172">
        <v>0.1</v>
      </c>
      <c r="K15" s="173">
        <v>22509</v>
      </c>
      <c r="L15" s="170">
        <v>1.41</v>
      </c>
    </row>
    <row r="16" spans="1:16" hidden="1" x14ac:dyDescent="0.2">
      <c r="B16" s="168" t="s">
        <v>592</v>
      </c>
      <c r="C16" s="168" t="s">
        <v>593</v>
      </c>
      <c r="D16" s="168">
        <v>2019</v>
      </c>
      <c r="E16" s="169">
        <v>18.579999999999998</v>
      </c>
      <c r="F16" s="170">
        <v>1.47</v>
      </c>
      <c r="G16" s="171">
        <v>0.76</v>
      </c>
      <c r="H16" s="170">
        <v>0.66</v>
      </c>
      <c r="I16" s="170">
        <v>0.73699999999999999</v>
      </c>
      <c r="J16" s="172">
        <v>1</v>
      </c>
      <c r="K16" s="173">
        <v>167555</v>
      </c>
      <c r="L16" s="170">
        <v>1.19</v>
      </c>
    </row>
    <row r="17" spans="2:14" hidden="1" x14ac:dyDescent="0.2">
      <c r="B17" s="168" t="s">
        <v>594</v>
      </c>
      <c r="C17" s="168" t="s">
        <v>595</v>
      </c>
      <c r="D17" s="168">
        <v>2020</v>
      </c>
      <c r="E17" s="169">
        <v>4.79</v>
      </c>
      <c r="F17" s="170">
        <v>1.45</v>
      </c>
      <c r="G17" s="171">
        <v>0.71</v>
      </c>
      <c r="H17" s="170">
        <v>0.46800000000000003</v>
      </c>
      <c r="I17" s="170">
        <v>0.83</v>
      </c>
      <c r="J17" s="172">
        <v>0.4</v>
      </c>
      <c r="K17" s="173">
        <v>76260</v>
      </c>
      <c r="L17" s="170">
        <v>1.53</v>
      </c>
    </row>
    <row r="18" spans="2:14" hidden="1" x14ac:dyDescent="0.2">
      <c r="B18" s="168" t="s">
        <v>596</v>
      </c>
      <c r="C18" s="168" t="s">
        <v>597</v>
      </c>
      <c r="D18" s="168">
        <v>2013</v>
      </c>
      <c r="E18" s="169">
        <v>1.27</v>
      </c>
      <c r="F18" s="170">
        <v>1.44</v>
      </c>
      <c r="G18" s="171" t="s">
        <v>598</v>
      </c>
      <c r="H18" s="170">
        <v>0.221</v>
      </c>
      <c r="I18" s="170">
        <v>0.71599999999999997</v>
      </c>
      <c r="J18" s="172" t="s">
        <v>598</v>
      </c>
      <c r="K18" s="173" t="s">
        <v>598</v>
      </c>
      <c r="L18" s="170">
        <v>1.57</v>
      </c>
      <c r="N18" s="150"/>
    </row>
    <row r="19" spans="2:14" hidden="1" x14ac:dyDescent="0.2">
      <c r="B19" s="168" t="s">
        <v>599</v>
      </c>
      <c r="C19" s="168" t="s">
        <v>600</v>
      </c>
      <c r="D19" s="168">
        <v>2019</v>
      </c>
      <c r="E19" s="169">
        <v>26.48</v>
      </c>
      <c r="F19" s="170">
        <v>1.43</v>
      </c>
      <c r="G19" s="171">
        <v>0.77</v>
      </c>
      <c r="H19" s="170">
        <v>0.432</v>
      </c>
      <c r="I19" s="170">
        <v>0.86099999999999999</v>
      </c>
      <c r="J19" s="172">
        <v>0.9</v>
      </c>
      <c r="K19" s="173">
        <v>4552</v>
      </c>
      <c r="L19" s="170">
        <v>1.52</v>
      </c>
    </row>
    <row r="20" spans="2:14" hidden="1" x14ac:dyDescent="0.2">
      <c r="B20" s="168" t="s">
        <v>601</v>
      </c>
      <c r="C20" s="168" t="s">
        <v>602</v>
      </c>
      <c r="D20" s="168">
        <v>2020</v>
      </c>
      <c r="E20" s="169">
        <v>7.53</v>
      </c>
      <c r="F20" s="170">
        <v>1.39</v>
      </c>
      <c r="G20" s="171">
        <v>0.93</v>
      </c>
      <c r="H20" s="170">
        <v>0.37</v>
      </c>
      <c r="I20" s="170">
        <v>0.78200000000000003</v>
      </c>
      <c r="J20" s="172">
        <v>0.2</v>
      </c>
      <c r="K20" s="173">
        <v>18054</v>
      </c>
      <c r="L20" s="170">
        <v>1.42</v>
      </c>
    </row>
    <row r="21" spans="2:14" hidden="1" x14ac:dyDescent="0.2">
      <c r="B21" s="168" t="s">
        <v>603</v>
      </c>
      <c r="C21" s="168" t="s">
        <v>604</v>
      </c>
      <c r="D21" s="168">
        <v>2015</v>
      </c>
      <c r="E21" s="169">
        <v>4.87</v>
      </c>
      <c r="F21" s="170">
        <v>1.36</v>
      </c>
      <c r="G21" s="171" t="s">
        <v>598</v>
      </c>
      <c r="H21" s="170">
        <v>0.13400000000000001</v>
      </c>
      <c r="I21" s="170">
        <v>0.72899999999999998</v>
      </c>
      <c r="J21" s="172" t="s">
        <v>598</v>
      </c>
      <c r="K21" s="173" t="s">
        <v>598</v>
      </c>
      <c r="L21" s="170">
        <v>1.44</v>
      </c>
    </row>
    <row r="22" spans="2:14" hidden="1" x14ac:dyDescent="0.2">
      <c r="B22" s="168" t="s">
        <v>605</v>
      </c>
      <c r="C22" s="168" t="s">
        <v>606</v>
      </c>
      <c r="D22" s="168">
        <v>2012</v>
      </c>
      <c r="E22" s="169">
        <v>3.6</v>
      </c>
      <c r="F22" s="170">
        <v>1.36</v>
      </c>
      <c r="G22" s="171" t="s">
        <v>598</v>
      </c>
      <c r="H22" s="170">
        <v>0.23799999999999999</v>
      </c>
      <c r="I22" s="170">
        <v>0.45</v>
      </c>
      <c r="J22" s="172" t="s">
        <v>598</v>
      </c>
      <c r="K22" s="173" t="s">
        <v>598</v>
      </c>
      <c r="L22" s="170">
        <v>1.26</v>
      </c>
    </row>
    <row r="23" spans="2:14" hidden="1" x14ac:dyDescent="0.2">
      <c r="B23" s="168" t="s">
        <v>607</v>
      </c>
      <c r="C23" s="168" t="s">
        <v>608</v>
      </c>
      <c r="D23" s="168">
        <v>2017</v>
      </c>
      <c r="E23" s="169">
        <v>6.19</v>
      </c>
      <c r="F23" s="170">
        <v>1.35</v>
      </c>
      <c r="G23" s="171" t="s">
        <v>598</v>
      </c>
      <c r="H23" s="170">
        <v>8.2000000000000003E-2</v>
      </c>
      <c r="I23" s="170">
        <v>0.86499999999999999</v>
      </c>
      <c r="J23" s="172" t="s">
        <v>598</v>
      </c>
      <c r="K23" s="173" t="s">
        <v>598</v>
      </c>
      <c r="L23" s="170">
        <v>1.22</v>
      </c>
    </row>
    <row r="24" spans="2:14" hidden="1" x14ac:dyDescent="0.2">
      <c r="B24" s="168" t="s">
        <v>609</v>
      </c>
      <c r="C24" s="168" t="s">
        <v>610</v>
      </c>
      <c r="D24" s="168">
        <v>2018</v>
      </c>
      <c r="E24" s="169">
        <v>5.65</v>
      </c>
      <c r="F24" s="170">
        <v>1.34</v>
      </c>
      <c r="G24" s="171" t="s">
        <v>598</v>
      </c>
      <c r="H24" s="170">
        <v>0.318</v>
      </c>
      <c r="I24" s="170">
        <v>0.81599999999999995</v>
      </c>
      <c r="J24" s="172" t="s">
        <v>598</v>
      </c>
      <c r="K24" s="173" t="s">
        <v>598</v>
      </c>
      <c r="L24" s="170">
        <v>1.36</v>
      </c>
    </row>
    <row r="25" spans="2:14" hidden="1" x14ac:dyDescent="0.2">
      <c r="B25" s="168" t="s">
        <v>611</v>
      </c>
      <c r="C25" s="168" t="s">
        <v>612</v>
      </c>
      <c r="D25" s="168">
        <v>2018</v>
      </c>
      <c r="E25" s="169">
        <v>5.71</v>
      </c>
      <c r="F25" s="170">
        <v>1.3</v>
      </c>
      <c r="G25" s="171">
        <v>0.61</v>
      </c>
      <c r="H25" s="170">
        <v>0.42899999999999999</v>
      </c>
      <c r="I25" s="170">
        <v>0.78700000000000003</v>
      </c>
      <c r="J25" s="172">
        <v>1.1000000000000001</v>
      </c>
      <c r="K25" s="173">
        <v>1209</v>
      </c>
      <c r="L25" s="170">
        <v>1.22</v>
      </c>
    </row>
    <row r="26" spans="2:14" hidden="1" x14ac:dyDescent="0.2">
      <c r="B26" s="168" t="s">
        <v>613</v>
      </c>
      <c r="C26" s="168" t="s">
        <v>614</v>
      </c>
      <c r="D26" s="168">
        <v>2019</v>
      </c>
      <c r="E26" s="169">
        <v>9.5299999999999994</v>
      </c>
      <c r="F26" s="170">
        <v>1.29</v>
      </c>
      <c r="G26" s="171" t="s">
        <v>598</v>
      </c>
      <c r="H26" s="170">
        <v>0.32100000000000001</v>
      </c>
      <c r="I26" s="170">
        <v>0.82699999999999996</v>
      </c>
      <c r="J26" s="172" t="s">
        <v>598</v>
      </c>
      <c r="K26" s="173" t="s">
        <v>598</v>
      </c>
      <c r="L26" s="168"/>
    </row>
    <row r="27" spans="2:14" hidden="1" x14ac:dyDescent="0.2">
      <c r="B27" s="168" t="s">
        <v>615</v>
      </c>
      <c r="C27" s="168" t="s">
        <v>616</v>
      </c>
      <c r="D27" s="168">
        <v>2019</v>
      </c>
      <c r="E27" s="169">
        <v>4.4400000000000004</v>
      </c>
      <c r="F27" s="170">
        <v>1.25</v>
      </c>
      <c r="G27" s="171">
        <v>0.43</v>
      </c>
      <c r="H27" s="170">
        <v>0.40899999999999997</v>
      </c>
      <c r="I27" s="170">
        <v>0.71699999999999997</v>
      </c>
      <c r="J27" s="172">
        <v>5.3</v>
      </c>
      <c r="K27" s="173">
        <v>49263</v>
      </c>
      <c r="L27" s="170">
        <v>1.22</v>
      </c>
    </row>
    <row r="28" spans="2:14" hidden="1" x14ac:dyDescent="0.2">
      <c r="B28" s="168" t="s">
        <v>617</v>
      </c>
      <c r="C28" s="168"/>
      <c r="D28" s="168"/>
      <c r="E28" s="169"/>
      <c r="F28" s="170"/>
      <c r="G28" s="171"/>
      <c r="H28" s="170"/>
      <c r="I28" s="170"/>
      <c r="J28" s="172"/>
      <c r="K28" s="173"/>
      <c r="L28" s="170"/>
    </row>
    <row r="29" spans="2:14" hidden="1" x14ac:dyDescent="0.2">
      <c r="B29" s="168" t="s">
        <v>618</v>
      </c>
      <c r="C29" s="168" t="s">
        <v>619</v>
      </c>
      <c r="D29" s="168">
        <v>2020</v>
      </c>
      <c r="E29" s="169">
        <v>11.82</v>
      </c>
      <c r="F29" s="170">
        <v>1.25</v>
      </c>
      <c r="G29" s="171">
        <v>0.52</v>
      </c>
      <c r="H29" s="170">
        <v>0.63900000000000001</v>
      </c>
      <c r="I29" s="170">
        <v>0.63600000000000001</v>
      </c>
      <c r="J29" s="172">
        <v>2.7</v>
      </c>
      <c r="K29" s="173">
        <v>112656</v>
      </c>
      <c r="L29" s="170">
        <v>1.34</v>
      </c>
    </row>
    <row r="30" spans="2:14" hidden="1" x14ac:dyDescent="0.2">
      <c r="B30" s="168" t="s">
        <v>620</v>
      </c>
      <c r="C30" s="168" t="s">
        <v>621</v>
      </c>
      <c r="D30" s="168">
        <v>2020</v>
      </c>
      <c r="E30" s="169">
        <v>11.39</v>
      </c>
      <c r="F30" s="170">
        <v>1.23</v>
      </c>
      <c r="G30" s="171">
        <v>0.99</v>
      </c>
      <c r="H30" s="170">
        <v>0.36399999999999999</v>
      </c>
      <c r="I30" s="170">
        <v>0.82899999999999996</v>
      </c>
      <c r="J30" s="172"/>
      <c r="K30" s="173">
        <v>243917</v>
      </c>
      <c r="L30" s="170">
        <v>1.56</v>
      </c>
    </row>
    <row r="31" spans="2:14" hidden="1" x14ac:dyDescent="0.2">
      <c r="B31" s="168" t="s">
        <v>622</v>
      </c>
      <c r="C31" s="168" t="s">
        <v>623</v>
      </c>
      <c r="D31" s="168">
        <v>2020</v>
      </c>
      <c r="E31" s="169">
        <v>7.77</v>
      </c>
      <c r="F31" s="170">
        <v>1.23</v>
      </c>
      <c r="G31" s="171">
        <v>0.76</v>
      </c>
      <c r="H31" s="170">
        <v>0.58499999999999996</v>
      </c>
      <c r="I31" s="170">
        <v>0.67400000000000004</v>
      </c>
      <c r="J31" s="172">
        <v>0.6</v>
      </c>
      <c r="K31" s="173">
        <v>168754</v>
      </c>
      <c r="L31" s="170">
        <v>1.26</v>
      </c>
    </row>
    <row r="32" spans="2:14" hidden="1" x14ac:dyDescent="0.2">
      <c r="B32" s="168" t="s">
        <v>624</v>
      </c>
      <c r="C32" s="168" t="s">
        <v>625</v>
      </c>
      <c r="D32" s="168">
        <v>2020</v>
      </c>
      <c r="E32" s="169">
        <v>10.82</v>
      </c>
      <c r="F32" s="170">
        <v>1.23</v>
      </c>
      <c r="G32" s="171">
        <v>0.64</v>
      </c>
      <c r="H32" s="170">
        <v>0.51400000000000001</v>
      </c>
      <c r="I32" s="170">
        <v>0.80300000000000005</v>
      </c>
      <c r="J32" s="172">
        <v>0.9</v>
      </c>
      <c r="K32" s="173">
        <v>143825</v>
      </c>
      <c r="L32" s="170">
        <v>1.31</v>
      </c>
    </row>
    <row r="33" spans="2:12" hidden="1" x14ac:dyDescent="0.2">
      <c r="B33" s="168" t="s">
        <v>626</v>
      </c>
      <c r="C33" s="168" t="s">
        <v>627</v>
      </c>
      <c r="D33" s="168">
        <v>2020</v>
      </c>
      <c r="E33" s="169">
        <v>3.12</v>
      </c>
      <c r="F33" s="170">
        <v>1.22</v>
      </c>
      <c r="G33" s="171">
        <v>0.8</v>
      </c>
      <c r="H33" s="170">
        <v>0.245</v>
      </c>
      <c r="I33" s="170">
        <v>0.63900000000000001</v>
      </c>
      <c r="J33" s="172"/>
      <c r="K33" s="173">
        <v>340537</v>
      </c>
      <c r="L33" s="170">
        <v>1.04</v>
      </c>
    </row>
    <row r="34" spans="2:12" hidden="1" x14ac:dyDescent="0.2">
      <c r="B34" s="168" t="s">
        <v>628</v>
      </c>
      <c r="C34" s="168" t="s">
        <v>629</v>
      </c>
      <c r="D34" s="168">
        <v>2020</v>
      </c>
      <c r="E34" s="169">
        <v>1.88</v>
      </c>
      <c r="F34" s="170">
        <v>1.2</v>
      </c>
      <c r="G34" s="171">
        <v>0.48</v>
      </c>
      <c r="H34" s="170">
        <v>0.19500000000000001</v>
      </c>
      <c r="I34" s="170">
        <v>0.65700000000000003</v>
      </c>
      <c r="J34" s="172">
        <v>1.7</v>
      </c>
      <c r="K34" s="173">
        <v>72558</v>
      </c>
      <c r="L34" s="170">
        <v>1.2</v>
      </c>
    </row>
    <row r="35" spans="2:12" hidden="1" x14ac:dyDescent="0.2">
      <c r="B35" s="168" t="s">
        <v>630</v>
      </c>
      <c r="C35" s="168" t="s">
        <v>631</v>
      </c>
      <c r="D35" s="168">
        <v>2020</v>
      </c>
      <c r="E35" s="169">
        <v>8.48</v>
      </c>
      <c r="F35" s="170">
        <v>1.2</v>
      </c>
      <c r="G35" s="171">
        <v>0.62</v>
      </c>
      <c r="H35" s="170">
        <v>0.66700000000000004</v>
      </c>
      <c r="I35" s="170">
        <v>0.89900000000000002</v>
      </c>
      <c r="J35" s="172">
        <v>1.8</v>
      </c>
      <c r="K35" s="173">
        <v>1901</v>
      </c>
      <c r="L35" s="170">
        <v>1.1000000000000001</v>
      </c>
    </row>
    <row r="36" spans="2:12" hidden="1" x14ac:dyDescent="0.2">
      <c r="B36" s="168" t="s">
        <v>632</v>
      </c>
      <c r="C36" s="168" t="s">
        <v>633</v>
      </c>
      <c r="D36" s="168">
        <v>2017</v>
      </c>
      <c r="E36" s="169">
        <v>5.29</v>
      </c>
      <c r="F36" s="170">
        <v>1.2</v>
      </c>
      <c r="G36" s="171" t="s">
        <v>598</v>
      </c>
      <c r="H36" s="170">
        <v>0.55600000000000005</v>
      </c>
      <c r="I36" s="170">
        <v>0.69</v>
      </c>
      <c r="J36" s="172" t="s">
        <v>598</v>
      </c>
      <c r="K36" s="173" t="s">
        <v>598</v>
      </c>
      <c r="L36" s="170">
        <v>1.29</v>
      </c>
    </row>
    <row r="37" spans="2:12" hidden="1" x14ac:dyDescent="0.2">
      <c r="B37" s="168" t="s">
        <v>634</v>
      </c>
      <c r="C37" s="168" t="s">
        <v>635</v>
      </c>
      <c r="D37" s="168">
        <v>2015</v>
      </c>
      <c r="E37" s="169">
        <v>8.3800000000000008</v>
      </c>
      <c r="F37" s="170">
        <v>1.2</v>
      </c>
      <c r="G37" s="171" t="s">
        <v>598</v>
      </c>
      <c r="H37" s="170">
        <v>0.21</v>
      </c>
      <c r="I37" s="170">
        <v>0.75600000000000001</v>
      </c>
      <c r="J37" s="172" t="s">
        <v>598</v>
      </c>
      <c r="K37" s="173" t="s">
        <v>598</v>
      </c>
      <c r="L37" s="170">
        <v>1.18</v>
      </c>
    </row>
    <row r="38" spans="2:12" hidden="1" x14ac:dyDescent="0.2">
      <c r="B38" s="168" t="s">
        <v>636</v>
      </c>
      <c r="C38" s="168" t="s">
        <v>637</v>
      </c>
      <c r="D38" s="168">
        <v>2020</v>
      </c>
      <c r="E38" s="169">
        <v>5.12</v>
      </c>
      <c r="F38" s="170">
        <v>1.2</v>
      </c>
      <c r="G38" s="171">
        <v>5.59</v>
      </c>
      <c r="H38" s="170">
        <v>0.51800000000000002</v>
      </c>
      <c r="I38" s="170">
        <v>0.73699999999999999</v>
      </c>
      <c r="J38" s="172"/>
      <c r="K38" s="173">
        <v>246060</v>
      </c>
      <c r="L38" s="170">
        <v>1.2</v>
      </c>
    </row>
    <row r="39" spans="2:12" hidden="1" x14ac:dyDescent="0.2">
      <c r="B39" s="168" t="s">
        <v>638</v>
      </c>
      <c r="C39" s="168" t="s">
        <v>639</v>
      </c>
      <c r="D39" s="168">
        <v>2020</v>
      </c>
      <c r="E39" s="169">
        <v>6.15</v>
      </c>
      <c r="F39" s="170">
        <v>1.2</v>
      </c>
      <c r="G39" s="171">
        <v>4.9800000000000004</v>
      </c>
      <c r="H39" s="170">
        <v>0.34300000000000003</v>
      </c>
      <c r="I39" s="170">
        <v>0.68600000000000005</v>
      </c>
      <c r="J39" s="172">
        <v>0.8</v>
      </c>
      <c r="K39" s="173">
        <v>103553</v>
      </c>
      <c r="L39" s="168"/>
    </row>
    <row r="40" spans="2:12" hidden="1" x14ac:dyDescent="0.2">
      <c r="B40" s="168" t="s">
        <v>640</v>
      </c>
      <c r="C40" s="168" t="s">
        <v>641</v>
      </c>
      <c r="D40" s="168">
        <v>2020</v>
      </c>
      <c r="E40" s="169">
        <v>5.83</v>
      </c>
      <c r="F40" s="170">
        <v>1.2</v>
      </c>
      <c r="G40" s="171">
        <v>2.0699999999999998</v>
      </c>
      <c r="H40" s="170">
        <v>0.40400000000000003</v>
      </c>
      <c r="I40" s="170">
        <v>0.69499999999999995</v>
      </c>
      <c r="J40" s="172"/>
      <c r="K40" s="173">
        <v>125299</v>
      </c>
      <c r="L40" s="170">
        <v>1.1100000000000001</v>
      </c>
    </row>
    <row r="41" spans="2:12" x14ac:dyDescent="0.2">
      <c r="B41" s="168" t="s">
        <v>642</v>
      </c>
      <c r="C41" s="168" t="s">
        <v>643</v>
      </c>
      <c r="D41" s="168">
        <v>2019</v>
      </c>
      <c r="E41" s="169">
        <v>8.7799999999999994</v>
      </c>
      <c r="F41" s="170">
        <v>1.19</v>
      </c>
      <c r="G41" s="171">
        <v>0.65</v>
      </c>
      <c r="H41" s="170">
        <v>0.193</v>
      </c>
      <c r="I41" s="170">
        <v>0.76500000000000001</v>
      </c>
      <c r="J41" s="172"/>
      <c r="K41" s="173">
        <v>26985</v>
      </c>
      <c r="L41" s="168"/>
    </row>
    <row r="42" spans="2:12" hidden="1" x14ac:dyDescent="0.2">
      <c r="B42" s="168" t="s">
        <v>644</v>
      </c>
      <c r="C42" s="168" t="s">
        <v>645</v>
      </c>
      <c r="D42" s="168">
        <v>2017</v>
      </c>
      <c r="E42" s="169">
        <v>1.23</v>
      </c>
      <c r="F42" s="170">
        <v>1.19</v>
      </c>
      <c r="G42" s="171" t="s">
        <v>598</v>
      </c>
      <c r="H42" s="170">
        <v>0.10100000000000001</v>
      </c>
      <c r="I42" s="170">
        <v>0.746</v>
      </c>
      <c r="J42" s="172" t="s">
        <v>598</v>
      </c>
      <c r="K42" s="173" t="s">
        <v>598</v>
      </c>
      <c r="L42" s="170">
        <v>1.21</v>
      </c>
    </row>
    <row r="43" spans="2:12" hidden="1" x14ac:dyDescent="0.2">
      <c r="B43" s="168" t="s">
        <v>646</v>
      </c>
      <c r="C43" s="168" t="s">
        <v>647</v>
      </c>
      <c r="D43" s="168">
        <v>2020</v>
      </c>
      <c r="E43" s="169">
        <v>8.58</v>
      </c>
      <c r="F43" s="170">
        <v>1.19</v>
      </c>
      <c r="G43" s="171">
        <v>0.43</v>
      </c>
      <c r="H43" s="170">
        <v>0.91300000000000003</v>
      </c>
      <c r="I43" s="170">
        <v>0.87</v>
      </c>
      <c r="J43" s="172">
        <v>1.8</v>
      </c>
      <c r="K43" s="173">
        <v>1259</v>
      </c>
      <c r="L43" s="170">
        <v>1.1599999999999999</v>
      </c>
    </row>
    <row r="44" spans="2:12" x14ac:dyDescent="0.2">
      <c r="B44" s="168" t="s">
        <v>648</v>
      </c>
      <c r="C44" s="168" t="s">
        <v>649</v>
      </c>
      <c r="D44" s="168">
        <v>2020</v>
      </c>
      <c r="E44" s="169">
        <v>2.39</v>
      </c>
      <c r="F44" s="170">
        <v>1.19</v>
      </c>
      <c r="G44" s="171">
        <v>0.43</v>
      </c>
      <c r="H44" s="170">
        <v>0.442</v>
      </c>
      <c r="I44" s="170">
        <v>0.77100000000000002</v>
      </c>
      <c r="J44" s="172">
        <v>1.3</v>
      </c>
      <c r="K44" s="173">
        <v>48664</v>
      </c>
      <c r="L44" s="168"/>
    </row>
    <row r="45" spans="2:12" hidden="1" x14ac:dyDescent="0.2">
      <c r="B45" s="168" t="s">
        <v>650</v>
      </c>
      <c r="C45" s="168" t="s">
        <v>651</v>
      </c>
      <c r="D45" s="168">
        <v>2016</v>
      </c>
      <c r="E45" s="169"/>
      <c r="F45" s="170">
        <v>1.17</v>
      </c>
      <c r="G45" s="171" t="s">
        <v>598</v>
      </c>
      <c r="H45" s="170"/>
      <c r="I45" s="170"/>
      <c r="J45" s="172" t="s">
        <v>598</v>
      </c>
      <c r="K45" s="173" t="s">
        <v>598</v>
      </c>
      <c r="L45" s="170">
        <v>1.21</v>
      </c>
    </row>
    <row r="46" spans="2:12" hidden="1" x14ac:dyDescent="0.2">
      <c r="B46" s="168" t="s">
        <v>652</v>
      </c>
      <c r="C46" s="168" t="s">
        <v>653</v>
      </c>
      <c r="D46" s="168">
        <v>2020</v>
      </c>
      <c r="E46" s="169">
        <v>7.02</v>
      </c>
      <c r="F46" s="170">
        <v>1.17</v>
      </c>
      <c r="G46" s="171">
        <v>2.2999999999999998</v>
      </c>
      <c r="H46" s="170">
        <v>0.35699999999999998</v>
      </c>
      <c r="I46" s="170">
        <v>0.55000000000000004</v>
      </c>
      <c r="J46" s="172">
        <v>0.9</v>
      </c>
      <c r="K46" s="173">
        <v>494018</v>
      </c>
      <c r="L46" s="170">
        <v>1.1399999999999999</v>
      </c>
    </row>
    <row r="47" spans="2:12" x14ac:dyDescent="0.2">
      <c r="B47" s="168" t="s">
        <v>654</v>
      </c>
      <c r="C47" s="168" t="s">
        <v>655</v>
      </c>
      <c r="D47" s="168">
        <v>2019</v>
      </c>
      <c r="E47" s="169">
        <v>10.87</v>
      </c>
      <c r="F47" s="170">
        <v>1.17</v>
      </c>
      <c r="G47" s="171">
        <v>0.59</v>
      </c>
      <c r="H47" s="170">
        <v>0.28599999999999998</v>
      </c>
      <c r="I47" s="170">
        <v>0.8</v>
      </c>
      <c r="J47" s="172">
        <v>0.8</v>
      </c>
      <c r="K47" s="173">
        <v>33999</v>
      </c>
      <c r="L47" s="168" t="s">
        <v>656</v>
      </c>
    </row>
    <row r="48" spans="2:12" hidden="1" x14ac:dyDescent="0.2">
      <c r="B48" s="168" t="s">
        <v>657</v>
      </c>
      <c r="C48" s="168" t="s">
        <v>658</v>
      </c>
      <c r="D48" s="168">
        <v>2020</v>
      </c>
      <c r="E48" s="169">
        <v>16.18</v>
      </c>
      <c r="F48" s="170">
        <v>1.17</v>
      </c>
      <c r="G48" s="171">
        <v>0.6</v>
      </c>
      <c r="H48" s="170">
        <v>1.2010000000000001</v>
      </c>
      <c r="I48" s="170">
        <v>0.64300000000000002</v>
      </c>
      <c r="J48" s="172">
        <v>2.5</v>
      </c>
      <c r="K48" s="173">
        <v>109478</v>
      </c>
      <c r="L48" s="170">
        <v>1.19</v>
      </c>
    </row>
    <row r="49" spans="2:12" hidden="1" x14ac:dyDescent="0.2">
      <c r="B49" s="168" t="s">
        <v>659</v>
      </c>
      <c r="C49" s="168" t="s">
        <v>660</v>
      </c>
      <c r="D49" s="168">
        <v>2019</v>
      </c>
      <c r="E49" s="169">
        <v>8.2899999999999991</v>
      </c>
      <c r="F49" s="170">
        <v>1.1599999999999999</v>
      </c>
      <c r="G49" s="171" t="s">
        <v>598</v>
      </c>
      <c r="H49" s="170">
        <v>0.22900000000000001</v>
      </c>
      <c r="I49" s="170">
        <v>0.748</v>
      </c>
      <c r="J49" s="172" t="s">
        <v>598</v>
      </c>
      <c r="K49" s="173" t="s">
        <v>598</v>
      </c>
      <c r="L49" s="170">
        <v>1.23</v>
      </c>
    </row>
    <row r="50" spans="2:12" hidden="1" x14ac:dyDescent="0.2">
      <c r="B50" s="168" t="s">
        <v>661</v>
      </c>
      <c r="C50" s="168" t="s">
        <v>662</v>
      </c>
      <c r="D50" s="168">
        <v>2020</v>
      </c>
      <c r="E50" s="169">
        <v>6.76</v>
      </c>
      <c r="F50" s="170">
        <v>1.1599999999999999</v>
      </c>
      <c r="G50" s="171">
        <v>0.66</v>
      </c>
      <c r="H50" s="170">
        <v>0.63200000000000001</v>
      </c>
      <c r="I50" s="170">
        <v>0.69699999999999995</v>
      </c>
      <c r="J50" s="172">
        <v>0.7</v>
      </c>
      <c r="K50" s="173">
        <v>98618</v>
      </c>
      <c r="L50" s="170">
        <v>1.19</v>
      </c>
    </row>
    <row r="51" spans="2:12" x14ac:dyDescent="0.2">
      <c r="B51" s="168" t="s">
        <v>663</v>
      </c>
      <c r="C51" s="168" t="s">
        <v>664</v>
      </c>
      <c r="D51" s="168">
        <v>2017</v>
      </c>
      <c r="E51" s="169">
        <v>18.88</v>
      </c>
      <c r="F51" s="170">
        <v>1.1499999999999999</v>
      </c>
      <c r="G51" s="171">
        <v>0.56999999999999995</v>
      </c>
      <c r="H51" s="170">
        <v>0.621</v>
      </c>
      <c r="I51" s="170">
        <v>0.77900000000000003</v>
      </c>
      <c r="J51" s="172">
        <v>0.8</v>
      </c>
      <c r="K51" s="173">
        <v>44899</v>
      </c>
      <c r="L51" s="170">
        <v>1.1499999999999999</v>
      </c>
    </row>
    <row r="52" spans="2:12" hidden="1" x14ac:dyDescent="0.2">
      <c r="B52" s="168" t="s">
        <v>665</v>
      </c>
      <c r="C52" s="168" t="s">
        <v>666</v>
      </c>
      <c r="D52" s="168">
        <v>2017</v>
      </c>
      <c r="E52" s="169">
        <v>3.94</v>
      </c>
      <c r="F52" s="170">
        <v>1.1499999999999999</v>
      </c>
      <c r="G52" s="171">
        <v>0.49</v>
      </c>
      <c r="H52" s="170">
        <v>0.45</v>
      </c>
      <c r="I52" s="170">
        <v>0.78100000000000003</v>
      </c>
      <c r="J52" s="172">
        <v>0.6</v>
      </c>
      <c r="K52" s="173">
        <v>1481</v>
      </c>
      <c r="L52" s="170">
        <v>1.1499999999999999</v>
      </c>
    </row>
    <row r="53" spans="2:12" hidden="1" x14ac:dyDescent="0.2">
      <c r="B53" s="168" t="s">
        <v>667</v>
      </c>
      <c r="C53" s="168" t="s">
        <v>668</v>
      </c>
      <c r="D53" s="168">
        <v>2020</v>
      </c>
      <c r="E53" s="169">
        <v>2.4700000000000002</v>
      </c>
      <c r="F53" s="170">
        <v>1.1499999999999999</v>
      </c>
      <c r="G53" s="171">
        <v>0.3</v>
      </c>
      <c r="H53" s="170">
        <v>0.19600000000000001</v>
      </c>
      <c r="I53" s="170">
        <v>0.877</v>
      </c>
      <c r="J53" s="172">
        <v>1.6</v>
      </c>
      <c r="K53" s="173">
        <v>188133</v>
      </c>
      <c r="L53" s="170">
        <v>1.1499999999999999</v>
      </c>
    </row>
    <row r="54" spans="2:12" hidden="1" x14ac:dyDescent="0.2">
      <c r="B54" s="168" t="s">
        <v>669</v>
      </c>
      <c r="C54" s="168" t="s">
        <v>670</v>
      </c>
      <c r="D54" s="168">
        <v>2020</v>
      </c>
      <c r="E54" s="169">
        <v>5.88</v>
      </c>
      <c r="F54" s="170">
        <v>1.1499999999999999</v>
      </c>
      <c r="G54" s="171">
        <v>0.57999999999999996</v>
      </c>
      <c r="H54" s="170">
        <v>0.48599999999999999</v>
      </c>
      <c r="I54" s="170">
        <v>0.79700000000000004</v>
      </c>
      <c r="J54" s="172">
        <v>0.7</v>
      </c>
      <c r="K54" s="173">
        <v>5148</v>
      </c>
      <c r="L54" s="170">
        <v>1.1100000000000001</v>
      </c>
    </row>
    <row r="55" spans="2:12" hidden="1" x14ac:dyDescent="0.2">
      <c r="B55" s="168" t="s">
        <v>671</v>
      </c>
      <c r="C55" s="168" t="s">
        <v>672</v>
      </c>
      <c r="D55" s="168">
        <v>2020</v>
      </c>
      <c r="E55" s="169">
        <v>9.6999999999999993</v>
      </c>
      <c r="F55" s="170">
        <v>1.1499999999999999</v>
      </c>
      <c r="G55" s="171">
        <v>0.64</v>
      </c>
      <c r="H55" s="170">
        <v>0.71399999999999997</v>
      </c>
      <c r="I55" s="170">
        <v>0.71199999999999997</v>
      </c>
      <c r="J55" s="172" t="s">
        <v>598</v>
      </c>
      <c r="K55" s="173">
        <v>9996</v>
      </c>
      <c r="L55" s="168"/>
    </row>
    <row r="56" spans="2:12" hidden="1" x14ac:dyDescent="0.2">
      <c r="B56" s="168" t="s">
        <v>673</v>
      </c>
      <c r="C56" s="168" t="s">
        <v>674</v>
      </c>
      <c r="D56" s="168">
        <v>2013</v>
      </c>
      <c r="E56" s="169">
        <v>7.71</v>
      </c>
      <c r="F56" s="170">
        <v>1.1399999999999999</v>
      </c>
      <c r="G56" s="171" t="s">
        <v>598</v>
      </c>
      <c r="H56" s="170">
        <v>0.26100000000000001</v>
      </c>
      <c r="I56" s="170">
        <v>0.76</v>
      </c>
      <c r="J56" s="172" t="s">
        <v>598</v>
      </c>
      <c r="K56" s="173" t="s">
        <v>598</v>
      </c>
      <c r="L56" s="170">
        <v>1.08</v>
      </c>
    </row>
    <row r="57" spans="2:12" hidden="1" x14ac:dyDescent="0.2">
      <c r="B57" s="168" t="s">
        <v>675</v>
      </c>
      <c r="C57" s="168" t="s">
        <v>676</v>
      </c>
      <c r="D57" s="168">
        <v>2019</v>
      </c>
      <c r="E57" s="169">
        <v>20.71</v>
      </c>
      <c r="F57" s="170">
        <v>1.1399999999999999</v>
      </c>
      <c r="G57" s="171">
        <v>0.61</v>
      </c>
      <c r="H57" s="170">
        <v>0.52300000000000002</v>
      </c>
      <c r="I57" s="170">
        <v>0.77500000000000002</v>
      </c>
      <c r="J57" s="172">
        <v>1.5</v>
      </c>
      <c r="K57" s="173">
        <v>2838</v>
      </c>
      <c r="L57" s="170">
        <v>1.1599999999999999</v>
      </c>
    </row>
    <row r="58" spans="2:12" hidden="1" x14ac:dyDescent="0.2">
      <c r="B58" s="168" t="s">
        <v>677</v>
      </c>
      <c r="C58" s="168" t="s">
        <v>678</v>
      </c>
      <c r="D58" s="168">
        <v>2012</v>
      </c>
      <c r="E58" s="169">
        <v>-0.6</v>
      </c>
      <c r="F58" s="170">
        <v>1.1399999999999999</v>
      </c>
      <c r="G58" s="171" t="s">
        <v>598</v>
      </c>
      <c r="H58" s="170">
        <v>-0.186</v>
      </c>
      <c r="I58" s="170">
        <v>0.40799999999999997</v>
      </c>
      <c r="J58" s="172" t="s">
        <v>598</v>
      </c>
      <c r="K58" s="173" t="s">
        <v>598</v>
      </c>
      <c r="L58" s="170">
        <v>1.0900000000000001</v>
      </c>
    </row>
    <row r="59" spans="2:12" hidden="1" x14ac:dyDescent="0.2">
      <c r="B59" s="168" t="s">
        <v>679</v>
      </c>
      <c r="C59" s="168" t="s">
        <v>680</v>
      </c>
      <c r="D59" s="168">
        <v>2020</v>
      </c>
      <c r="E59" s="169">
        <v>6.23</v>
      </c>
      <c r="F59" s="170">
        <v>1.1399999999999999</v>
      </c>
      <c r="G59" s="171">
        <v>0.6</v>
      </c>
      <c r="H59" s="170">
        <v>0.50600000000000001</v>
      </c>
      <c r="I59" s="170">
        <v>0.78900000000000003</v>
      </c>
      <c r="J59" s="172">
        <v>0.2</v>
      </c>
      <c r="K59" s="173">
        <v>1864</v>
      </c>
      <c r="L59" s="170">
        <v>1.2</v>
      </c>
    </row>
    <row r="60" spans="2:12" hidden="1" x14ac:dyDescent="0.2">
      <c r="B60" s="168" t="s">
        <v>681</v>
      </c>
      <c r="C60" s="168" t="s">
        <v>682</v>
      </c>
      <c r="D60" s="168">
        <v>2020</v>
      </c>
      <c r="E60" s="169">
        <v>3.24</v>
      </c>
      <c r="F60" s="170">
        <v>1.1399999999999999</v>
      </c>
      <c r="G60" s="171">
        <v>0.33</v>
      </c>
      <c r="H60" s="170">
        <v>0.27300000000000002</v>
      </c>
      <c r="I60" s="170">
        <v>0.70899999999999996</v>
      </c>
      <c r="J60" s="172">
        <v>0.5</v>
      </c>
      <c r="K60" s="173">
        <v>378972</v>
      </c>
      <c r="L60" s="170">
        <v>1.18</v>
      </c>
    </row>
    <row r="61" spans="2:12" hidden="1" x14ac:dyDescent="0.2">
      <c r="B61" s="168" t="s">
        <v>683</v>
      </c>
      <c r="C61" s="168" t="s">
        <v>684</v>
      </c>
      <c r="D61" s="168">
        <v>2020</v>
      </c>
      <c r="E61" s="169">
        <v>4.51</v>
      </c>
      <c r="F61" s="170">
        <v>1.1399999999999999</v>
      </c>
      <c r="G61" s="171">
        <v>0.04</v>
      </c>
      <c r="H61" s="170">
        <v>9.0999999999999998E-2</v>
      </c>
      <c r="I61" s="170">
        <v>0.80600000000000005</v>
      </c>
      <c r="J61" s="172"/>
      <c r="K61" s="173">
        <v>232122</v>
      </c>
      <c r="L61" s="170">
        <v>1.1299999999999999</v>
      </c>
    </row>
    <row r="62" spans="2:12" hidden="1" x14ac:dyDescent="0.2">
      <c r="B62" s="168" t="s">
        <v>685</v>
      </c>
      <c r="C62" s="168" t="s">
        <v>686</v>
      </c>
      <c r="D62" s="168">
        <v>2020</v>
      </c>
      <c r="E62" s="169">
        <v>1.31</v>
      </c>
      <c r="F62" s="170">
        <v>1.1399999999999999</v>
      </c>
      <c r="G62" s="171">
        <v>1.0900000000000001</v>
      </c>
      <c r="H62" s="170">
        <v>0.255</v>
      </c>
      <c r="I62" s="170">
        <v>0.51900000000000002</v>
      </c>
      <c r="J62" s="172">
        <v>0.3</v>
      </c>
      <c r="K62" s="173">
        <v>115</v>
      </c>
      <c r="L62" s="170">
        <v>1.1299999999999999</v>
      </c>
    </row>
    <row r="63" spans="2:12" hidden="1" x14ac:dyDescent="0.2">
      <c r="B63" s="168" t="s">
        <v>687</v>
      </c>
      <c r="C63" s="168" t="s">
        <v>688</v>
      </c>
      <c r="D63" s="168">
        <v>2019</v>
      </c>
      <c r="E63" s="169">
        <v>43.01</v>
      </c>
      <c r="F63" s="170">
        <v>1.1399999999999999</v>
      </c>
      <c r="G63" s="171">
        <v>1.03</v>
      </c>
      <c r="H63" s="170">
        <v>1.4870000000000001</v>
      </c>
      <c r="I63" s="170">
        <v>0.753</v>
      </c>
      <c r="J63" s="172">
        <v>1</v>
      </c>
      <c r="K63" s="173" t="s">
        <v>689</v>
      </c>
      <c r="L63" s="168"/>
    </row>
    <row r="64" spans="2:12" hidden="1" x14ac:dyDescent="0.2">
      <c r="B64" s="168" t="s">
        <v>690</v>
      </c>
      <c r="C64" s="168" t="s">
        <v>691</v>
      </c>
      <c r="D64" s="168">
        <v>2020</v>
      </c>
      <c r="E64" s="169">
        <v>8.65</v>
      </c>
      <c r="F64" s="170">
        <v>1.1299999999999999</v>
      </c>
      <c r="G64" s="171">
        <v>0.31</v>
      </c>
      <c r="H64" s="170">
        <v>0.38600000000000001</v>
      </c>
      <c r="I64" s="170">
        <v>0.80600000000000005</v>
      </c>
      <c r="J64" s="172">
        <v>1.4</v>
      </c>
      <c r="K64" s="173">
        <v>98180</v>
      </c>
      <c r="L64" s="170">
        <v>1.05</v>
      </c>
    </row>
    <row r="65" spans="2:12" hidden="1" x14ac:dyDescent="0.2">
      <c r="B65" s="168" t="s">
        <v>692</v>
      </c>
      <c r="C65" s="168" t="s">
        <v>693</v>
      </c>
      <c r="D65" s="168">
        <v>2015</v>
      </c>
      <c r="E65" s="169">
        <v>3.89</v>
      </c>
      <c r="F65" s="170">
        <v>1.1200000000000001</v>
      </c>
      <c r="G65" s="171" t="s">
        <v>598</v>
      </c>
      <c r="H65" s="170">
        <v>0.35899999999999999</v>
      </c>
      <c r="I65" s="170">
        <v>0.68700000000000006</v>
      </c>
      <c r="J65" s="172" t="s">
        <v>598</v>
      </c>
      <c r="K65" s="173" t="s">
        <v>598</v>
      </c>
      <c r="L65" s="170">
        <v>1.1100000000000001</v>
      </c>
    </row>
    <row r="66" spans="2:12" hidden="1" x14ac:dyDescent="0.2">
      <c r="B66" s="168" t="s">
        <v>694</v>
      </c>
      <c r="C66" s="168" t="s">
        <v>695</v>
      </c>
      <c r="D66" s="168">
        <v>2016</v>
      </c>
      <c r="E66" s="169">
        <v>6.76</v>
      </c>
      <c r="F66" s="170">
        <v>1.1200000000000001</v>
      </c>
      <c r="G66" s="171" t="s">
        <v>598</v>
      </c>
      <c r="H66" s="170">
        <v>0.21199999999999999</v>
      </c>
      <c r="I66" s="170">
        <v>0.71799999999999997</v>
      </c>
      <c r="J66" s="172" t="s">
        <v>598</v>
      </c>
      <c r="K66" s="173" t="s">
        <v>598</v>
      </c>
      <c r="L66" s="170">
        <v>1.28</v>
      </c>
    </row>
    <row r="67" spans="2:12" hidden="1" x14ac:dyDescent="0.2">
      <c r="B67" s="168" t="s">
        <v>696</v>
      </c>
      <c r="C67" s="168" t="s">
        <v>697</v>
      </c>
      <c r="D67" s="168">
        <v>2016</v>
      </c>
      <c r="E67" s="169"/>
      <c r="F67" s="170">
        <v>1.1100000000000001</v>
      </c>
      <c r="G67" s="171">
        <v>1.1299999999999999</v>
      </c>
      <c r="H67" s="170"/>
      <c r="I67" s="170"/>
      <c r="J67" s="172">
        <v>0.2</v>
      </c>
      <c r="K67" s="173">
        <v>1776</v>
      </c>
      <c r="L67" s="170">
        <v>1.1200000000000001</v>
      </c>
    </row>
    <row r="68" spans="2:12" hidden="1" x14ac:dyDescent="0.2">
      <c r="B68" s="168" t="s">
        <v>698</v>
      </c>
      <c r="C68" s="168" t="s">
        <v>699</v>
      </c>
      <c r="D68" s="168">
        <v>2020</v>
      </c>
      <c r="E68" s="169">
        <v>3.02</v>
      </c>
      <c r="F68" s="170">
        <v>1.1000000000000001</v>
      </c>
      <c r="G68" s="171">
        <v>0.4</v>
      </c>
      <c r="H68" s="170">
        <v>0.52500000000000002</v>
      </c>
      <c r="I68" s="170">
        <v>0.72199999999999998</v>
      </c>
      <c r="J68" s="172"/>
      <c r="K68" s="173">
        <v>103519</v>
      </c>
      <c r="L68" s="170">
        <v>1.0900000000000001</v>
      </c>
    </row>
    <row r="69" spans="2:12" hidden="1" x14ac:dyDescent="0.2">
      <c r="B69" s="168" t="s">
        <v>700</v>
      </c>
      <c r="C69" s="168" t="s">
        <v>701</v>
      </c>
      <c r="D69" s="168">
        <v>2019</v>
      </c>
      <c r="E69" s="169">
        <v>19.329999999999998</v>
      </c>
      <c r="F69" s="170">
        <v>1.1000000000000001</v>
      </c>
      <c r="G69" s="171">
        <v>1.44</v>
      </c>
      <c r="H69" s="170">
        <v>1.694</v>
      </c>
      <c r="I69" s="170">
        <v>0.83599999999999997</v>
      </c>
      <c r="J69" s="172">
        <v>0.2</v>
      </c>
      <c r="K69" s="173">
        <v>1338</v>
      </c>
      <c r="L69" s="170">
        <v>1.06</v>
      </c>
    </row>
    <row r="70" spans="2:12" hidden="1" x14ac:dyDescent="0.2">
      <c r="B70" s="168" t="s">
        <v>702</v>
      </c>
      <c r="C70" s="168" t="s">
        <v>703</v>
      </c>
      <c r="D70" s="168">
        <v>2018</v>
      </c>
      <c r="E70" s="169">
        <v>1.89</v>
      </c>
      <c r="F70" s="170">
        <v>1.1000000000000001</v>
      </c>
      <c r="G70" s="171">
        <v>0.75</v>
      </c>
      <c r="H70" s="170">
        <v>0.13500000000000001</v>
      </c>
      <c r="I70" s="170">
        <v>0.60699999999999998</v>
      </c>
      <c r="J70" s="172">
        <v>0.8</v>
      </c>
      <c r="K70" s="173">
        <v>176764</v>
      </c>
      <c r="L70" s="170">
        <v>1.04</v>
      </c>
    </row>
    <row r="71" spans="2:12" hidden="1" x14ac:dyDescent="0.2">
      <c r="B71" s="168" t="s">
        <v>704</v>
      </c>
      <c r="C71" s="168" t="s">
        <v>705</v>
      </c>
      <c r="D71" s="168">
        <v>2013</v>
      </c>
      <c r="E71" s="169">
        <v>1.96</v>
      </c>
      <c r="F71" s="170">
        <v>1.0900000000000001</v>
      </c>
      <c r="G71" s="171" t="s">
        <v>598</v>
      </c>
      <c r="H71" s="170">
        <v>2.4E-2</v>
      </c>
      <c r="I71" s="170">
        <v>0.65</v>
      </c>
      <c r="J71" s="172" t="s">
        <v>598</v>
      </c>
      <c r="K71" s="173" t="s">
        <v>598</v>
      </c>
      <c r="L71" s="168"/>
    </row>
    <row r="72" spans="2:12" x14ac:dyDescent="0.2">
      <c r="B72" s="168" t="s">
        <v>706</v>
      </c>
      <c r="C72" s="168" t="s">
        <v>707</v>
      </c>
      <c r="D72" s="168">
        <v>2020</v>
      </c>
      <c r="E72" s="169">
        <v>20.260000000000002</v>
      </c>
      <c r="F72" s="170">
        <v>1.0900000000000001</v>
      </c>
      <c r="G72" s="171">
        <v>1.65</v>
      </c>
      <c r="H72" s="170">
        <v>0.56899999999999995</v>
      </c>
      <c r="I72" s="170">
        <v>0.86799999999999999</v>
      </c>
      <c r="J72" s="172"/>
      <c r="K72" s="173">
        <v>19553</v>
      </c>
      <c r="L72" s="170">
        <v>1.02</v>
      </c>
    </row>
    <row r="73" spans="2:12" hidden="1" x14ac:dyDescent="0.2">
      <c r="B73" s="168" t="s">
        <v>708</v>
      </c>
      <c r="C73" s="168" t="s">
        <v>709</v>
      </c>
      <c r="D73" s="168">
        <v>2019</v>
      </c>
      <c r="E73" s="169">
        <v>0.39</v>
      </c>
      <c r="F73" s="170">
        <v>1.08</v>
      </c>
      <c r="G73" s="171">
        <v>0.14000000000000001</v>
      </c>
      <c r="H73" s="170">
        <v>0.29699999999999999</v>
      </c>
      <c r="I73" s="170">
        <v>0.74199999999999999</v>
      </c>
      <c r="J73" s="172">
        <v>2.5</v>
      </c>
      <c r="K73" s="173">
        <v>63621</v>
      </c>
      <c r="L73" s="170">
        <v>1.07</v>
      </c>
    </row>
    <row r="74" spans="2:12" hidden="1" x14ac:dyDescent="0.2">
      <c r="B74" s="168" t="s">
        <v>710</v>
      </c>
      <c r="C74" s="168" t="s">
        <v>711</v>
      </c>
      <c r="D74" s="168">
        <v>2020</v>
      </c>
      <c r="E74" s="169">
        <v>6.87</v>
      </c>
      <c r="F74" s="170">
        <v>1.08</v>
      </c>
      <c r="G74" s="171" t="s">
        <v>598</v>
      </c>
      <c r="H74" s="170">
        <v>0.28399999999999997</v>
      </c>
      <c r="I74" s="170">
        <v>0.65700000000000003</v>
      </c>
      <c r="J74" s="172" t="s">
        <v>598</v>
      </c>
      <c r="K74" s="173" t="s">
        <v>598</v>
      </c>
      <c r="L74" s="170">
        <v>1.04</v>
      </c>
    </row>
    <row r="75" spans="2:12" x14ac:dyDescent="0.2">
      <c r="B75" s="168" t="s">
        <v>712</v>
      </c>
      <c r="C75" s="168" t="s">
        <v>713</v>
      </c>
      <c r="D75" s="168">
        <v>2020</v>
      </c>
      <c r="E75" s="169">
        <v>10.16</v>
      </c>
      <c r="F75" s="170">
        <v>1.08</v>
      </c>
      <c r="G75" s="171">
        <v>0.96</v>
      </c>
      <c r="H75" s="170">
        <v>0.40400000000000003</v>
      </c>
      <c r="I75" s="170">
        <v>0.88300000000000001</v>
      </c>
      <c r="J75" s="172"/>
      <c r="K75" s="173">
        <v>45507</v>
      </c>
      <c r="L75" s="170">
        <v>1.06</v>
      </c>
    </row>
    <row r="76" spans="2:12" hidden="1" x14ac:dyDescent="0.2">
      <c r="B76" s="168" t="s">
        <v>714</v>
      </c>
      <c r="C76" s="168" t="s">
        <v>715</v>
      </c>
      <c r="D76" s="168">
        <v>2019</v>
      </c>
      <c r="E76" s="169">
        <v>1.33</v>
      </c>
      <c r="F76" s="170">
        <v>1.07</v>
      </c>
      <c r="G76" s="171" t="s">
        <v>598</v>
      </c>
      <c r="H76" s="170">
        <v>0.28100000000000003</v>
      </c>
      <c r="I76" s="170">
        <v>0.49199999999999999</v>
      </c>
      <c r="J76" s="172" t="s">
        <v>598</v>
      </c>
      <c r="K76" s="173" t="s">
        <v>598</v>
      </c>
      <c r="L76" s="170">
        <v>1.08</v>
      </c>
    </row>
    <row r="77" spans="2:12" hidden="1" x14ac:dyDescent="0.2">
      <c r="B77" s="168" t="s">
        <v>716</v>
      </c>
      <c r="C77" s="168" t="s">
        <v>717</v>
      </c>
      <c r="D77" s="168">
        <v>2017</v>
      </c>
      <c r="E77" s="169">
        <v>1.18</v>
      </c>
      <c r="F77" s="170">
        <v>1.07</v>
      </c>
      <c r="G77" s="171" t="s">
        <v>598</v>
      </c>
      <c r="H77" s="170">
        <v>0.43099999999999999</v>
      </c>
      <c r="I77" s="170">
        <v>0.42899999999999999</v>
      </c>
      <c r="J77" s="172" t="s">
        <v>598</v>
      </c>
      <c r="K77" s="173" t="s">
        <v>598</v>
      </c>
      <c r="L77" s="170">
        <v>1.1100000000000001</v>
      </c>
    </row>
    <row r="78" spans="2:12" hidden="1" x14ac:dyDescent="0.2">
      <c r="B78" s="168" t="s">
        <v>718</v>
      </c>
      <c r="C78" s="168" t="s">
        <v>719</v>
      </c>
      <c r="D78" s="168">
        <v>2020</v>
      </c>
      <c r="E78" s="169">
        <v>1.22</v>
      </c>
      <c r="F78" s="170">
        <v>1.07</v>
      </c>
      <c r="G78" s="171">
        <v>0.78</v>
      </c>
      <c r="H78" s="170">
        <v>0.37</v>
      </c>
      <c r="I78" s="170">
        <v>0.63500000000000001</v>
      </c>
      <c r="J78" s="172">
        <v>0.4</v>
      </c>
      <c r="K78" s="173">
        <v>120440</v>
      </c>
      <c r="L78" s="170">
        <v>1.05</v>
      </c>
    </row>
    <row r="79" spans="2:12" hidden="1" x14ac:dyDescent="0.2">
      <c r="B79" s="168" t="s">
        <v>720</v>
      </c>
      <c r="C79" s="168" t="s">
        <v>721</v>
      </c>
      <c r="D79" s="168">
        <v>2019</v>
      </c>
      <c r="E79" s="169">
        <v>13.65</v>
      </c>
      <c r="F79" s="170">
        <v>1.06</v>
      </c>
      <c r="G79" s="171" t="s">
        <v>598</v>
      </c>
      <c r="H79" s="170">
        <v>0.41299999999999998</v>
      </c>
      <c r="I79" s="170">
        <v>0.752</v>
      </c>
      <c r="J79" s="172" t="s">
        <v>598</v>
      </c>
      <c r="K79" s="173" t="s">
        <v>598</v>
      </c>
      <c r="L79" s="170">
        <v>1.08</v>
      </c>
    </row>
    <row r="80" spans="2:12" hidden="1" x14ac:dyDescent="0.2">
      <c r="B80" s="168" t="s">
        <v>722</v>
      </c>
      <c r="C80" s="168" t="s">
        <v>723</v>
      </c>
      <c r="D80" s="168">
        <v>2019</v>
      </c>
      <c r="E80" s="169">
        <v>6.22</v>
      </c>
      <c r="F80" s="170">
        <v>1.06</v>
      </c>
      <c r="G80" s="171">
        <v>4.17</v>
      </c>
      <c r="H80" s="170">
        <v>0.17499999999999999</v>
      </c>
      <c r="I80" s="170">
        <v>0.59799999999999998</v>
      </c>
      <c r="J80" s="172"/>
      <c r="K80" s="173">
        <v>126370</v>
      </c>
      <c r="L80" s="168"/>
    </row>
    <row r="81" spans="2:42" x14ac:dyDescent="0.2">
      <c r="B81" s="168" t="s">
        <v>724</v>
      </c>
      <c r="C81" s="168" t="s">
        <v>725</v>
      </c>
      <c r="D81" s="168">
        <v>2020</v>
      </c>
      <c r="E81" s="169">
        <v>4.7300000000000004</v>
      </c>
      <c r="F81" s="170">
        <v>1.05</v>
      </c>
      <c r="G81" s="171">
        <v>0.76</v>
      </c>
      <c r="H81" s="170">
        <v>0.33600000000000002</v>
      </c>
      <c r="I81" s="170">
        <v>0.60599999999999998</v>
      </c>
      <c r="J81" s="172">
        <v>1.3</v>
      </c>
      <c r="K81" s="173">
        <v>26561</v>
      </c>
      <c r="L81" s="170">
        <v>1.02</v>
      </c>
    </row>
    <row r="82" spans="2:42" hidden="1" x14ac:dyDescent="0.2">
      <c r="B82" s="168" t="s">
        <v>726</v>
      </c>
      <c r="C82" s="168" t="s">
        <v>727</v>
      </c>
      <c r="D82" s="168">
        <v>2015</v>
      </c>
      <c r="E82" s="169"/>
      <c r="F82" s="170">
        <v>1.04</v>
      </c>
      <c r="G82" s="171" t="s">
        <v>598</v>
      </c>
      <c r="H82" s="170"/>
      <c r="I82" s="170"/>
      <c r="J82" s="172" t="s">
        <v>598</v>
      </c>
      <c r="K82" s="173" t="s">
        <v>598</v>
      </c>
      <c r="L82" s="170">
        <v>1.02</v>
      </c>
    </row>
    <row r="83" spans="2:42" hidden="1" x14ac:dyDescent="0.2">
      <c r="B83" s="168" t="s">
        <v>728</v>
      </c>
      <c r="C83" s="168" t="s">
        <v>729</v>
      </c>
      <c r="D83" s="168">
        <v>2020</v>
      </c>
      <c r="E83" s="169">
        <v>7.76</v>
      </c>
      <c r="F83" s="170">
        <v>1.03</v>
      </c>
      <c r="G83" s="171">
        <v>1.9</v>
      </c>
      <c r="H83" s="170">
        <v>0.34599999999999997</v>
      </c>
      <c r="I83" s="170">
        <v>0.63</v>
      </c>
      <c r="J83" s="172">
        <v>0.2</v>
      </c>
      <c r="K83" s="173">
        <v>556</v>
      </c>
      <c r="L83" s="170">
        <v>1</v>
      </c>
    </row>
    <row r="84" spans="2:42" hidden="1" x14ac:dyDescent="0.2">
      <c r="B84" s="168" t="s">
        <v>730</v>
      </c>
      <c r="C84" s="168" t="s">
        <v>731</v>
      </c>
      <c r="D84" s="168">
        <v>2016</v>
      </c>
      <c r="E84" s="169">
        <v>1.05</v>
      </c>
      <c r="F84" s="170">
        <v>1.02</v>
      </c>
      <c r="G84" s="171" t="s">
        <v>598</v>
      </c>
      <c r="H84" s="170">
        <v>-4.5999999999999999E-2</v>
      </c>
      <c r="I84" s="170">
        <v>0.59399999999999997</v>
      </c>
      <c r="J84" s="172" t="s">
        <v>598</v>
      </c>
      <c r="K84" s="173" t="s">
        <v>598</v>
      </c>
      <c r="L84" s="170">
        <v>0.97</v>
      </c>
    </row>
    <row r="85" spans="2:42" hidden="1" x14ac:dyDescent="0.2">
      <c r="B85" s="168" t="s">
        <v>732</v>
      </c>
      <c r="C85" s="168" t="s">
        <v>733</v>
      </c>
      <c r="D85" s="168">
        <v>2013</v>
      </c>
      <c r="E85" s="169"/>
      <c r="F85" s="170">
        <v>1.02</v>
      </c>
      <c r="G85" s="171" t="s">
        <v>598</v>
      </c>
      <c r="H85" s="170"/>
      <c r="I85" s="170"/>
      <c r="J85" s="172" t="s">
        <v>598</v>
      </c>
      <c r="K85" s="173" t="s">
        <v>598</v>
      </c>
      <c r="L85" s="170">
        <v>1.02</v>
      </c>
    </row>
    <row r="86" spans="2:42" hidden="1" x14ac:dyDescent="0.2">
      <c r="B86" s="168" t="s">
        <v>734</v>
      </c>
      <c r="C86" s="168" t="s">
        <v>735</v>
      </c>
      <c r="D86" s="168">
        <v>2020</v>
      </c>
      <c r="E86" s="169">
        <v>2.68</v>
      </c>
      <c r="F86" s="170">
        <v>1.02</v>
      </c>
      <c r="G86" s="171">
        <v>0.87</v>
      </c>
      <c r="H86" s="170">
        <v>0.45</v>
      </c>
      <c r="I86" s="170">
        <v>0.58499999999999996</v>
      </c>
      <c r="J86" s="172">
        <v>1.2</v>
      </c>
      <c r="K86" s="173">
        <v>3995</v>
      </c>
      <c r="L86" s="170">
        <v>0.97</v>
      </c>
    </row>
    <row r="87" spans="2:42" hidden="1" x14ac:dyDescent="0.2">
      <c r="B87" s="168" t="s">
        <v>736</v>
      </c>
      <c r="C87" s="168" t="s">
        <v>737</v>
      </c>
      <c r="D87" s="168">
        <v>2014</v>
      </c>
      <c r="E87" s="169">
        <v>6.05</v>
      </c>
      <c r="F87" s="170">
        <v>1.01</v>
      </c>
      <c r="G87" s="171" t="s">
        <v>598</v>
      </c>
      <c r="H87" s="170">
        <v>0.57399999999999995</v>
      </c>
      <c r="I87" s="170">
        <v>0.51900000000000002</v>
      </c>
      <c r="J87" s="172" t="s">
        <v>598</v>
      </c>
      <c r="K87" s="173" t="s">
        <v>598</v>
      </c>
      <c r="L87" s="170">
        <v>1.01</v>
      </c>
      <c r="AI87" s="28" t="s">
        <v>738</v>
      </c>
      <c r="AK87" s="151">
        <v>167926</v>
      </c>
      <c r="AL87" s="151">
        <v>104900</v>
      </c>
      <c r="AM87" s="151">
        <v>51414</v>
      </c>
      <c r="AN87" s="151">
        <v>-33523</v>
      </c>
      <c r="AO87" s="152">
        <v>0.96</v>
      </c>
      <c r="AP87" s="28" t="s">
        <v>739</v>
      </c>
    </row>
    <row r="88" spans="2:42" x14ac:dyDescent="0.2">
      <c r="B88" s="168" t="s">
        <v>740</v>
      </c>
      <c r="C88" s="168" t="s">
        <v>741</v>
      </c>
      <c r="D88" s="168">
        <v>2020</v>
      </c>
      <c r="E88" s="169">
        <v>2.5499999999999998</v>
      </c>
      <c r="F88" s="170">
        <v>1.01</v>
      </c>
      <c r="G88" s="171">
        <v>0.43</v>
      </c>
      <c r="H88" s="170">
        <v>0.47299999999999998</v>
      </c>
      <c r="I88" s="170">
        <v>0.72799999999999998</v>
      </c>
      <c r="J88" s="172">
        <v>0.3</v>
      </c>
      <c r="K88" s="173">
        <v>34400</v>
      </c>
      <c r="L88" s="170">
        <v>1.03</v>
      </c>
      <c r="AK88" s="151"/>
      <c r="AL88" s="151"/>
      <c r="AM88" s="151"/>
      <c r="AN88" s="151"/>
      <c r="AO88" s="152"/>
    </row>
    <row r="89" spans="2:42" hidden="1" x14ac:dyDescent="0.2">
      <c r="B89" s="168" t="s">
        <v>742</v>
      </c>
      <c r="C89" s="168" t="s">
        <v>743</v>
      </c>
      <c r="D89" s="168">
        <v>2015</v>
      </c>
      <c r="E89" s="169"/>
      <c r="F89" s="170">
        <v>1</v>
      </c>
      <c r="G89" s="171" t="s">
        <v>598</v>
      </c>
      <c r="H89" s="170"/>
      <c r="I89" s="170"/>
      <c r="J89" s="172" t="s">
        <v>598</v>
      </c>
      <c r="K89" s="173" t="s">
        <v>598</v>
      </c>
      <c r="L89" s="170">
        <v>1</v>
      </c>
    </row>
    <row r="90" spans="2:42" hidden="1" x14ac:dyDescent="0.2">
      <c r="B90" s="168" t="s">
        <v>744</v>
      </c>
      <c r="C90" s="168" t="s">
        <v>745</v>
      </c>
      <c r="D90" s="168">
        <v>2013</v>
      </c>
      <c r="E90" s="169">
        <v>5.89</v>
      </c>
      <c r="F90" s="170">
        <v>1</v>
      </c>
      <c r="G90" s="171" t="s">
        <v>598</v>
      </c>
      <c r="H90" s="170">
        <v>0.40200000000000002</v>
      </c>
      <c r="I90" s="170">
        <v>0.53800000000000003</v>
      </c>
      <c r="J90" s="172" t="s">
        <v>598</v>
      </c>
      <c r="K90" s="173" t="s">
        <v>598</v>
      </c>
      <c r="L90" s="170">
        <v>1.07</v>
      </c>
    </row>
    <row r="91" spans="2:42" hidden="1" x14ac:dyDescent="0.2">
      <c r="B91" s="168" t="s">
        <v>746</v>
      </c>
      <c r="C91" s="168" t="s">
        <v>747</v>
      </c>
      <c r="D91" s="168">
        <v>2012</v>
      </c>
      <c r="E91" s="169"/>
      <c r="F91" s="170">
        <v>1</v>
      </c>
      <c r="G91" s="171" t="s">
        <v>598</v>
      </c>
      <c r="H91" s="170"/>
      <c r="I91" s="170"/>
      <c r="J91" s="172" t="s">
        <v>598</v>
      </c>
      <c r="K91" s="173" t="s">
        <v>598</v>
      </c>
      <c r="L91" s="170">
        <v>1</v>
      </c>
    </row>
    <row r="92" spans="2:42" hidden="1" x14ac:dyDescent="0.2">
      <c r="B92" s="168" t="s">
        <v>748</v>
      </c>
      <c r="C92" s="168" t="s">
        <v>749</v>
      </c>
      <c r="D92" s="168">
        <v>2013</v>
      </c>
      <c r="E92" s="169">
        <v>2.5299999999999998</v>
      </c>
      <c r="F92" s="170">
        <v>0.99</v>
      </c>
      <c r="G92" s="171" t="s">
        <v>598</v>
      </c>
      <c r="H92" s="170">
        <v>0.34699999999999998</v>
      </c>
      <c r="I92" s="170">
        <v>0.69199999999999995</v>
      </c>
      <c r="J92" s="172" t="s">
        <v>598</v>
      </c>
      <c r="K92" s="173" t="s">
        <v>598</v>
      </c>
      <c r="L92" s="170">
        <v>0.99</v>
      </c>
    </row>
    <row r="93" spans="2:42" hidden="1" x14ac:dyDescent="0.2">
      <c r="B93" s="168" t="s">
        <v>750</v>
      </c>
      <c r="C93" s="168" t="s">
        <v>751</v>
      </c>
      <c r="D93" s="168">
        <v>2015</v>
      </c>
      <c r="E93" s="169">
        <v>1.33</v>
      </c>
      <c r="F93" s="170">
        <v>0.99</v>
      </c>
      <c r="G93" s="171" t="s">
        <v>598</v>
      </c>
      <c r="H93" s="170">
        <v>0.115</v>
      </c>
      <c r="I93" s="170">
        <v>0.27800000000000002</v>
      </c>
      <c r="J93" s="172" t="s">
        <v>598</v>
      </c>
      <c r="K93" s="173" t="s">
        <v>598</v>
      </c>
      <c r="L93" s="170">
        <v>0.95</v>
      </c>
    </row>
    <row r="94" spans="2:42" hidden="1" x14ac:dyDescent="0.2">
      <c r="B94" s="168" t="s">
        <v>752</v>
      </c>
      <c r="C94" s="168" t="s">
        <v>753</v>
      </c>
      <c r="D94" s="168">
        <v>2020</v>
      </c>
      <c r="E94" s="169">
        <v>3.47</v>
      </c>
      <c r="F94" s="170">
        <v>0.99</v>
      </c>
      <c r="G94" s="171">
        <v>1.9</v>
      </c>
      <c r="H94" s="170">
        <v>0.45200000000000001</v>
      </c>
      <c r="I94" s="170">
        <v>0.66100000000000003</v>
      </c>
      <c r="J94" s="172"/>
      <c r="K94" s="173">
        <v>675</v>
      </c>
      <c r="L94" s="170">
        <v>0.99</v>
      </c>
    </row>
    <row r="95" spans="2:42" hidden="1" x14ac:dyDescent="0.2">
      <c r="B95" s="168" t="s">
        <v>754</v>
      </c>
      <c r="C95" s="168" t="s">
        <v>755</v>
      </c>
      <c r="D95" s="168">
        <v>2019</v>
      </c>
      <c r="E95" s="169">
        <v>2.62</v>
      </c>
      <c r="F95" s="170">
        <v>0.99</v>
      </c>
      <c r="G95" s="171">
        <v>0.79</v>
      </c>
      <c r="H95" s="170">
        <v>0.218</v>
      </c>
      <c r="I95" s="170">
        <v>0.48699999999999999</v>
      </c>
      <c r="J95" s="172">
        <v>0.7</v>
      </c>
      <c r="K95" s="173">
        <v>91380</v>
      </c>
      <c r="L95" s="170">
        <v>0.99</v>
      </c>
    </row>
    <row r="96" spans="2:42" hidden="1" x14ac:dyDescent="0.2">
      <c r="B96" s="168" t="s">
        <v>756</v>
      </c>
      <c r="C96" s="168" t="s">
        <v>757</v>
      </c>
      <c r="D96" s="168">
        <v>2020</v>
      </c>
      <c r="E96" s="169">
        <v>6.83</v>
      </c>
      <c r="F96" s="170">
        <v>0.98</v>
      </c>
      <c r="G96" s="171">
        <v>0.77</v>
      </c>
      <c r="H96" s="170">
        <v>0.622</v>
      </c>
      <c r="I96" s="170">
        <v>0.57799999999999996</v>
      </c>
      <c r="J96" s="172"/>
      <c r="K96" s="173">
        <v>1662</v>
      </c>
      <c r="L96" s="170">
        <v>1.19</v>
      </c>
    </row>
    <row r="97" spans="1:17" hidden="1" x14ac:dyDescent="0.2">
      <c r="B97" s="168" t="s">
        <v>758</v>
      </c>
      <c r="C97" s="168" t="s">
        <v>759</v>
      </c>
      <c r="D97" s="168">
        <v>2019</v>
      </c>
      <c r="E97" s="169">
        <v>7.13</v>
      </c>
      <c r="F97" s="170">
        <v>0.97</v>
      </c>
      <c r="G97" s="171">
        <v>0.28999999999999998</v>
      </c>
      <c r="H97" s="170">
        <v>0.23200000000000001</v>
      </c>
      <c r="I97" s="170">
        <v>0.755</v>
      </c>
      <c r="J97" s="172"/>
      <c r="K97" s="173" t="s">
        <v>689</v>
      </c>
      <c r="L97" s="170">
        <v>0.93</v>
      </c>
    </row>
    <row r="98" spans="1:17" hidden="1" x14ac:dyDescent="0.2">
      <c r="B98" s="168" t="s">
        <v>760</v>
      </c>
      <c r="C98" s="168" t="s">
        <v>761</v>
      </c>
      <c r="D98" s="168">
        <v>2010</v>
      </c>
      <c r="E98" s="169">
        <v>5.83</v>
      </c>
      <c r="F98" s="170">
        <v>0.96</v>
      </c>
      <c r="G98" s="171" t="s">
        <v>598</v>
      </c>
      <c r="H98" s="170">
        <v>0.28499999999999998</v>
      </c>
      <c r="I98" s="170">
        <v>0.70099999999999996</v>
      </c>
      <c r="J98" s="172" t="s">
        <v>598</v>
      </c>
      <c r="K98" s="173" t="s">
        <v>598</v>
      </c>
      <c r="L98" s="170">
        <v>0.95</v>
      </c>
    </row>
    <row r="99" spans="1:17" hidden="1" x14ac:dyDescent="0.2">
      <c r="B99" s="168" t="s">
        <v>762</v>
      </c>
      <c r="C99" s="168" t="s">
        <v>763</v>
      </c>
      <c r="D99" s="168">
        <v>2013</v>
      </c>
      <c r="E99" s="169">
        <v>1.7</v>
      </c>
      <c r="F99" s="170">
        <v>0.95</v>
      </c>
      <c r="G99" s="171" t="s">
        <v>598</v>
      </c>
      <c r="H99" s="170">
        <v>-1.9E-2</v>
      </c>
      <c r="I99" s="170">
        <v>0.50900000000000001</v>
      </c>
      <c r="J99" s="172" t="s">
        <v>598</v>
      </c>
      <c r="K99" s="173" t="s">
        <v>598</v>
      </c>
      <c r="L99" s="170">
        <v>0.95</v>
      </c>
    </row>
    <row r="100" spans="1:17" hidden="1" x14ac:dyDescent="0.2">
      <c r="B100" s="168" t="s">
        <v>764</v>
      </c>
      <c r="C100" s="168" t="s">
        <v>765</v>
      </c>
      <c r="D100" s="168">
        <v>2018</v>
      </c>
      <c r="E100" s="169"/>
      <c r="F100" s="170">
        <v>0.95</v>
      </c>
      <c r="G100" s="171" t="s">
        <v>598</v>
      </c>
      <c r="H100" s="170"/>
      <c r="I100" s="170"/>
      <c r="J100" s="172" t="s">
        <v>598</v>
      </c>
      <c r="K100" s="173" t="s">
        <v>598</v>
      </c>
      <c r="L100" s="168"/>
    </row>
    <row r="101" spans="1:17" hidden="1" x14ac:dyDescent="0.2">
      <c r="B101" s="168" t="s">
        <v>766</v>
      </c>
      <c r="C101" s="168" t="s">
        <v>767</v>
      </c>
      <c r="D101" s="168">
        <v>2020</v>
      </c>
      <c r="E101" s="169">
        <v>11.42</v>
      </c>
      <c r="F101" s="170">
        <v>0.94</v>
      </c>
      <c r="G101" s="171" t="s">
        <v>598</v>
      </c>
      <c r="H101" s="170">
        <v>0.217</v>
      </c>
      <c r="I101" s="170">
        <v>0.60799999999999998</v>
      </c>
      <c r="J101" s="172" t="s">
        <v>598</v>
      </c>
      <c r="K101" s="173" t="s">
        <v>598</v>
      </c>
      <c r="L101" s="170">
        <v>0.96</v>
      </c>
    </row>
    <row r="102" spans="1:17" hidden="1" x14ac:dyDescent="0.2">
      <c r="B102" s="168" t="s">
        <v>768</v>
      </c>
      <c r="C102" s="168" t="s">
        <v>769</v>
      </c>
      <c r="D102" s="168">
        <v>2011</v>
      </c>
      <c r="E102" s="169">
        <v>1.28</v>
      </c>
      <c r="F102" s="170">
        <v>0.93</v>
      </c>
      <c r="G102" s="171" t="s">
        <v>598</v>
      </c>
      <c r="H102" s="170">
        <v>7.0000000000000007E-2</v>
      </c>
      <c r="I102" s="170">
        <v>0.65</v>
      </c>
      <c r="J102" s="172" t="s">
        <v>598</v>
      </c>
      <c r="K102" s="173" t="s">
        <v>598</v>
      </c>
      <c r="L102" s="170">
        <v>0.88</v>
      </c>
    </row>
    <row r="103" spans="1:17" hidden="1" x14ac:dyDescent="0.2">
      <c r="B103" s="168" t="s">
        <v>770</v>
      </c>
      <c r="C103" s="168" t="s">
        <v>771</v>
      </c>
      <c r="D103" s="168">
        <v>2014</v>
      </c>
      <c r="E103" s="169">
        <v>7.97</v>
      </c>
      <c r="F103" s="170">
        <v>1.1519999999999999</v>
      </c>
      <c r="G103" s="171" t="s">
        <v>598</v>
      </c>
      <c r="H103" s="170">
        <v>0.47299999999999998</v>
      </c>
      <c r="I103" s="170">
        <v>0.80800000000000005</v>
      </c>
      <c r="J103" s="172" t="s">
        <v>598</v>
      </c>
      <c r="K103" s="173" t="s">
        <v>598</v>
      </c>
      <c r="L103" s="170">
        <v>0.83</v>
      </c>
    </row>
    <row r="104" spans="1:17" hidden="1" x14ac:dyDescent="0.2">
      <c r="B104" s="168" t="s">
        <v>772</v>
      </c>
      <c r="C104" s="168" t="s">
        <v>773</v>
      </c>
      <c r="D104" s="168">
        <v>2014</v>
      </c>
      <c r="E104" s="169">
        <v>14.31</v>
      </c>
      <c r="F104" s="170">
        <v>0.92</v>
      </c>
      <c r="G104" s="171" t="s">
        <v>598</v>
      </c>
      <c r="H104" s="170">
        <v>0.34100000000000003</v>
      </c>
      <c r="I104" s="170">
        <v>0.66500000000000004</v>
      </c>
      <c r="J104" s="172" t="s">
        <v>598</v>
      </c>
      <c r="K104" s="173" t="s">
        <v>598</v>
      </c>
      <c r="L104" s="170">
        <v>0.92</v>
      </c>
    </row>
    <row r="105" spans="1:17" hidden="1" x14ac:dyDescent="0.2">
      <c r="B105" s="168" t="s">
        <v>774</v>
      </c>
      <c r="C105" s="168" t="s">
        <v>775</v>
      </c>
      <c r="D105" s="168">
        <v>2013</v>
      </c>
      <c r="E105" s="169">
        <v>15.1</v>
      </c>
      <c r="F105" s="170">
        <v>0.91</v>
      </c>
      <c r="G105" s="171" t="s">
        <v>598</v>
      </c>
      <c r="H105" s="170">
        <v>0.254</v>
      </c>
      <c r="I105" s="170">
        <v>0.876</v>
      </c>
      <c r="J105" s="172" t="s">
        <v>598</v>
      </c>
      <c r="K105" s="173" t="s">
        <v>598</v>
      </c>
      <c r="L105" s="170">
        <v>0.91</v>
      </c>
    </row>
    <row r="106" spans="1:17" hidden="1" x14ac:dyDescent="0.2">
      <c r="B106" s="168" t="s">
        <v>776</v>
      </c>
      <c r="C106" s="168" t="s">
        <v>777</v>
      </c>
      <c r="D106" s="168">
        <v>2013</v>
      </c>
      <c r="E106" s="169">
        <v>1.98</v>
      </c>
      <c r="F106" s="170">
        <v>0.9</v>
      </c>
      <c r="G106" s="171" t="s">
        <v>598</v>
      </c>
      <c r="H106" s="170">
        <v>3.5000000000000003E-2</v>
      </c>
      <c r="I106" s="170">
        <v>0.67400000000000004</v>
      </c>
      <c r="J106" s="172" t="s">
        <v>598</v>
      </c>
      <c r="K106" s="173" t="s">
        <v>598</v>
      </c>
      <c r="L106" s="168"/>
    </row>
    <row r="107" spans="1:17" hidden="1" x14ac:dyDescent="0.2">
      <c r="B107" s="168" t="s">
        <v>778</v>
      </c>
      <c r="C107" s="168" t="s">
        <v>779</v>
      </c>
      <c r="D107" s="168">
        <v>2017</v>
      </c>
      <c r="E107" s="169">
        <v>3.71</v>
      </c>
      <c r="F107" s="170">
        <v>0.9</v>
      </c>
      <c r="G107" s="171" t="s">
        <v>598</v>
      </c>
      <c r="H107" s="170">
        <v>0.127</v>
      </c>
      <c r="I107" s="170">
        <v>0.80200000000000005</v>
      </c>
      <c r="J107" s="172" t="s">
        <v>598</v>
      </c>
      <c r="K107" s="173" t="s">
        <v>598</v>
      </c>
      <c r="L107" s="168"/>
    </row>
    <row r="108" spans="1:17" hidden="1" x14ac:dyDescent="0.2">
      <c r="B108" s="168" t="s">
        <v>780</v>
      </c>
      <c r="C108" s="168" t="s">
        <v>781</v>
      </c>
      <c r="D108" s="168">
        <v>2020</v>
      </c>
      <c r="E108" s="169">
        <v>4.03</v>
      </c>
      <c r="F108" s="170">
        <v>0.86</v>
      </c>
      <c r="G108" s="171">
        <v>0.52</v>
      </c>
      <c r="H108" s="170">
        <v>0.26200000000000001</v>
      </c>
      <c r="I108" s="170">
        <v>0.83099999999999996</v>
      </c>
      <c r="J108" s="172" t="s">
        <v>689</v>
      </c>
      <c r="K108" s="173">
        <v>163</v>
      </c>
      <c r="L108" s="170">
        <v>0.84</v>
      </c>
    </row>
    <row r="109" spans="1:17" x14ac:dyDescent="0.2">
      <c r="B109" s="175" t="s">
        <v>782</v>
      </c>
      <c r="C109" s="155"/>
      <c r="D109" s="155"/>
      <c r="E109" s="245"/>
      <c r="F109" s="155"/>
      <c r="G109" s="155"/>
      <c r="H109" s="155"/>
      <c r="I109" s="155"/>
      <c r="J109" s="155"/>
      <c r="K109" s="155"/>
      <c r="L109" s="155"/>
    </row>
    <row r="110" spans="1:17" x14ac:dyDescent="0.2">
      <c r="A110" s="153"/>
      <c r="B110" s="154"/>
    </row>
    <row r="111" spans="1:17" x14ac:dyDescent="0.2">
      <c r="B111" s="153" t="s">
        <v>1955</v>
      </c>
    </row>
    <row r="112" spans="1:17" x14ac:dyDescent="0.2">
      <c r="B112" s="157" t="s">
        <v>784</v>
      </c>
      <c r="C112" s="157" t="s">
        <v>785</v>
      </c>
      <c r="D112" s="157" t="s">
        <v>786</v>
      </c>
      <c r="E112" s="157" t="s">
        <v>787</v>
      </c>
      <c r="F112" s="157" t="s">
        <v>788</v>
      </c>
      <c r="G112" s="157" t="s">
        <v>789</v>
      </c>
      <c r="H112" s="157" t="s">
        <v>574</v>
      </c>
      <c r="I112" s="157" t="s">
        <v>790</v>
      </c>
      <c r="J112" s="157" t="s">
        <v>791</v>
      </c>
      <c r="K112" s="157" t="s">
        <v>792</v>
      </c>
      <c r="L112" s="157" t="s">
        <v>490</v>
      </c>
      <c r="M112" s="157" t="s">
        <v>793</v>
      </c>
      <c r="N112" s="157" t="s">
        <v>794</v>
      </c>
      <c r="O112" s="157" t="s">
        <v>795</v>
      </c>
      <c r="P112" s="158" t="s">
        <v>796</v>
      </c>
      <c r="Q112" s="156"/>
    </row>
    <row r="113" spans="2:17" hidden="1" x14ac:dyDescent="0.2">
      <c r="B113" s="159" t="s">
        <v>797</v>
      </c>
      <c r="C113" s="159" t="s">
        <v>798</v>
      </c>
      <c r="D113" s="160">
        <v>12</v>
      </c>
      <c r="E113" s="161" t="s">
        <v>799</v>
      </c>
      <c r="F113" s="159" t="s">
        <v>800</v>
      </c>
      <c r="G113" s="162">
        <v>43766</v>
      </c>
      <c r="H113" s="163">
        <f t="shared" ref="H113:H176" si="0">YEAR(G113)</f>
        <v>2019</v>
      </c>
      <c r="I113" s="159" t="s">
        <v>801</v>
      </c>
      <c r="J113" s="160">
        <v>43</v>
      </c>
      <c r="K113" s="160">
        <v>55</v>
      </c>
      <c r="L113" s="164">
        <v>3.43</v>
      </c>
      <c r="M113" s="165">
        <f t="shared" ref="M113:M176" si="1">IFERROR(J113/L113," ")</f>
        <v>12.536443148688045</v>
      </c>
      <c r="N113" s="166" t="s">
        <v>802</v>
      </c>
      <c r="O113" s="159" t="s">
        <v>803</v>
      </c>
      <c r="P113" s="167" t="str">
        <f>HYPERLINK("https://my.pitchbook.com?c=126799-39T", "View company online")</f>
        <v>View company online</v>
      </c>
      <c r="Q113" s="156"/>
    </row>
    <row r="114" spans="2:17" hidden="1" x14ac:dyDescent="0.2">
      <c r="B114" s="159" t="s">
        <v>804</v>
      </c>
      <c r="C114" s="159" t="s">
        <v>805</v>
      </c>
      <c r="D114" s="160">
        <v>12</v>
      </c>
      <c r="E114" s="161" t="s">
        <v>799</v>
      </c>
      <c r="F114" s="159" t="s">
        <v>806</v>
      </c>
      <c r="G114" s="162">
        <v>44469</v>
      </c>
      <c r="H114" s="163">
        <f t="shared" si="0"/>
        <v>2021</v>
      </c>
      <c r="I114" s="159" t="s">
        <v>807</v>
      </c>
      <c r="J114" s="160">
        <v>100</v>
      </c>
      <c r="K114" s="160">
        <v>112</v>
      </c>
      <c r="L114" s="164">
        <v>20</v>
      </c>
      <c r="M114" s="165">
        <f t="shared" si="1"/>
        <v>5</v>
      </c>
      <c r="N114" s="166" t="s">
        <v>808</v>
      </c>
      <c r="O114" s="159" t="s">
        <v>809</v>
      </c>
      <c r="P114" s="167" t="str">
        <f>HYPERLINK("https://my.pitchbook.com?c=178224-76T", "View company online")</f>
        <v>View company online</v>
      </c>
      <c r="Q114" s="156"/>
    </row>
    <row r="115" spans="2:17" hidden="1" x14ac:dyDescent="0.2">
      <c r="B115" s="159" t="s">
        <v>810</v>
      </c>
      <c r="C115" s="159" t="s">
        <v>811</v>
      </c>
      <c r="D115" s="160">
        <v>12</v>
      </c>
      <c r="E115" s="161" t="s">
        <v>799</v>
      </c>
      <c r="F115" s="159" t="s">
        <v>812</v>
      </c>
      <c r="G115" s="162">
        <v>43607</v>
      </c>
      <c r="H115" s="163">
        <f t="shared" si="0"/>
        <v>2019</v>
      </c>
      <c r="I115" s="159" t="s">
        <v>807</v>
      </c>
      <c r="J115" s="160">
        <v>36</v>
      </c>
      <c r="K115" s="160">
        <v>48</v>
      </c>
      <c r="L115" s="164">
        <v>5.2</v>
      </c>
      <c r="M115" s="165">
        <f t="shared" si="1"/>
        <v>6.9230769230769225</v>
      </c>
      <c r="N115" s="166" t="s">
        <v>813</v>
      </c>
      <c r="O115" s="159" t="s">
        <v>803</v>
      </c>
      <c r="P115" s="167" t="str">
        <f>HYPERLINK("https://my.pitchbook.com?c=119159-38T", "View company online")</f>
        <v>View company online</v>
      </c>
      <c r="Q115" s="156"/>
    </row>
    <row r="116" spans="2:17" hidden="1" x14ac:dyDescent="0.2">
      <c r="B116" s="159" t="s">
        <v>814</v>
      </c>
      <c r="C116" s="159" t="s">
        <v>815</v>
      </c>
      <c r="D116" s="160">
        <v>12</v>
      </c>
      <c r="E116" s="161" t="s">
        <v>816</v>
      </c>
      <c r="F116" s="159" t="s">
        <v>817</v>
      </c>
      <c r="G116" s="162">
        <v>43139</v>
      </c>
      <c r="H116" s="163">
        <f t="shared" si="0"/>
        <v>2018</v>
      </c>
      <c r="I116" s="159" t="s">
        <v>807</v>
      </c>
      <c r="J116" s="160">
        <v>30</v>
      </c>
      <c r="K116" s="160">
        <v>39</v>
      </c>
      <c r="L116" s="164">
        <v>3.1</v>
      </c>
      <c r="M116" s="165">
        <f t="shared" si="1"/>
        <v>9.67741935483871</v>
      </c>
      <c r="N116" s="166" t="s">
        <v>818</v>
      </c>
      <c r="O116" s="159" t="s">
        <v>803</v>
      </c>
      <c r="P116" s="167" t="str">
        <f>HYPERLINK("https://my.pitchbook.com?c=87771-97T", "View company online")</f>
        <v>View company online</v>
      </c>
      <c r="Q116" s="156"/>
    </row>
    <row r="117" spans="2:17" hidden="1" x14ac:dyDescent="0.2">
      <c r="B117" s="159" t="s">
        <v>819</v>
      </c>
      <c r="C117" s="159" t="s">
        <v>820</v>
      </c>
      <c r="D117" s="160">
        <v>12</v>
      </c>
      <c r="E117" s="161" t="s">
        <v>816</v>
      </c>
      <c r="F117" s="159" t="s">
        <v>821</v>
      </c>
      <c r="G117" s="162">
        <v>44733</v>
      </c>
      <c r="H117" s="163">
        <f t="shared" si="0"/>
        <v>2022</v>
      </c>
      <c r="I117" s="159" t="s">
        <v>807</v>
      </c>
      <c r="J117" s="160">
        <v>20</v>
      </c>
      <c r="K117" s="160">
        <v>32</v>
      </c>
      <c r="L117" s="164">
        <v>2.5</v>
      </c>
      <c r="M117" s="165">
        <f t="shared" si="1"/>
        <v>8</v>
      </c>
      <c r="N117" s="166" t="s">
        <v>822</v>
      </c>
      <c r="O117" s="159" t="s">
        <v>823</v>
      </c>
      <c r="P117" s="167" t="str">
        <f>HYPERLINK("https://my.pitchbook.com?c=196595-11T", "View company online")</f>
        <v>View company online</v>
      </c>
      <c r="Q117" s="156"/>
    </row>
    <row r="118" spans="2:17" hidden="1" x14ac:dyDescent="0.2">
      <c r="B118" s="159" t="s">
        <v>824</v>
      </c>
      <c r="C118" s="159" t="s">
        <v>825</v>
      </c>
      <c r="D118" s="160">
        <v>12</v>
      </c>
      <c r="E118" s="161" t="s">
        <v>826</v>
      </c>
      <c r="F118" s="159" t="s">
        <v>827</v>
      </c>
      <c r="G118" s="162">
        <v>43136</v>
      </c>
      <c r="H118" s="163">
        <f t="shared" si="0"/>
        <v>2018</v>
      </c>
      <c r="I118" s="159" t="s">
        <v>807</v>
      </c>
      <c r="J118" s="160">
        <v>285</v>
      </c>
      <c r="K118" s="160">
        <v>297</v>
      </c>
      <c r="L118" s="164">
        <v>9.8000000000000007</v>
      </c>
      <c r="M118" s="165">
        <f t="shared" si="1"/>
        <v>29.081632653061224</v>
      </c>
      <c r="N118" s="166" t="s">
        <v>828</v>
      </c>
      <c r="O118" s="159" t="s">
        <v>803</v>
      </c>
      <c r="P118" s="167" t="str">
        <f>HYPERLINK("https://my.pitchbook.com?c=104126-14T", "View company online")</f>
        <v>View company online</v>
      </c>
      <c r="Q118" s="156"/>
    </row>
    <row r="119" spans="2:17" hidden="1" x14ac:dyDescent="0.2">
      <c r="B119" s="159" t="s">
        <v>829</v>
      </c>
      <c r="C119" s="159" t="s">
        <v>830</v>
      </c>
      <c r="D119" s="160">
        <v>12.09</v>
      </c>
      <c r="E119" s="161" t="s">
        <v>799</v>
      </c>
      <c r="F119" s="159" t="s">
        <v>831</v>
      </c>
      <c r="G119" s="162">
        <v>43602</v>
      </c>
      <c r="H119" s="163">
        <f t="shared" si="0"/>
        <v>2019</v>
      </c>
      <c r="I119" s="159" t="s">
        <v>807</v>
      </c>
      <c r="J119" s="160">
        <v>70</v>
      </c>
      <c r="K119" s="160">
        <v>82.09</v>
      </c>
      <c r="L119" s="164">
        <v>11.95</v>
      </c>
      <c r="M119" s="165">
        <f t="shared" si="1"/>
        <v>5.8577405857740592</v>
      </c>
      <c r="N119" s="166" t="s">
        <v>832</v>
      </c>
      <c r="O119" s="159" t="s">
        <v>803</v>
      </c>
      <c r="P119" s="167" t="str">
        <f>HYPERLINK("https://my.pitchbook.com?c=119005-12T", "View company online")</f>
        <v>View company online</v>
      </c>
      <c r="Q119" s="156"/>
    </row>
    <row r="120" spans="2:17" hidden="1" x14ac:dyDescent="0.2">
      <c r="B120" s="159" t="s">
        <v>833</v>
      </c>
      <c r="C120" s="159" t="s">
        <v>834</v>
      </c>
      <c r="D120" s="160">
        <v>12.2</v>
      </c>
      <c r="E120" s="161" t="s">
        <v>835</v>
      </c>
      <c r="F120" s="159" t="s">
        <v>836</v>
      </c>
      <c r="G120" s="162">
        <v>43720</v>
      </c>
      <c r="H120" s="163">
        <f t="shared" si="0"/>
        <v>2019</v>
      </c>
      <c r="I120" s="159" t="s">
        <v>807</v>
      </c>
      <c r="J120" s="160">
        <v>202.75</v>
      </c>
      <c r="K120" s="160">
        <v>214.95</v>
      </c>
      <c r="L120" s="164">
        <v>3.94</v>
      </c>
      <c r="M120" s="165">
        <f t="shared" si="1"/>
        <v>51.459390862944161</v>
      </c>
      <c r="N120" s="166" t="s">
        <v>837</v>
      </c>
      <c r="O120" s="159" t="s">
        <v>838</v>
      </c>
      <c r="P120" s="167" t="str">
        <f>HYPERLINK("https://my.pitchbook.com?c=124354-99T", "View company online")</f>
        <v>View company online</v>
      </c>
      <c r="Q120" s="156"/>
    </row>
    <row r="121" spans="2:17" hidden="1" x14ac:dyDescent="0.2">
      <c r="B121" s="159" t="s">
        <v>839</v>
      </c>
      <c r="C121" s="159" t="s">
        <v>840</v>
      </c>
      <c r="D121" s="160">
        <v>12.2</v>
      </c>
      <c r="E121" s="161" t="s">
        <v>452</v>
      </c>
      <c r="F121" s="159" t="s">
        <v>841</v>
      </c>
      <c r="G121" s="162">
        <v>43435</v>
      </c>
      <c r="H121" s="163">
        <f t="shared" si="0"/>
        <v>2018</v>
      </c>
      <c r="I121" s="159" t="s">
        <v>842</v>
      </c>
      <c r="J121" s="160">
        <v>4</v>
      </c>
      <c r="K121" s="160">
        <v>16.2</v>
      </c>
      <c r="L121" s="164">
        <v>6</v>
      </c>
      <c r="M121" s="165">
        <f t="shared" si="1"/>
        <v>0.66666666666666663</v>
      </c>
      <c r="N121" s="166" t="s">
        <v>843</v>
      </c>
      <c r="O121" s="159" t="s">
        <v>803</v>
      </c>
      <c r="P121" s="167" t="str">
        <f>HYPERLINK("https://my.pitchbook.com?c=123383-17T", "View company online")</f>
        <v>View company online</v>
      </c>
      <c r="Q121" s="156"/>
    </row>
    <row r="122" spans="2:17" hidden="1" x14ac:dyDescent="0.2">
      <c r="B122" s="159" t="s">
        <v>844</v>
      </c>
      <c r="C122" s="159" t="s">
        <v>845</v>
      </c>
      <c r="D122" s="160">
        <v>12.34</v>
      </c>
      <c r="E122" s="161" t="s">
        <v>452</v>
      </c>
      <c r="F122" s="159" t="s">
        <v>846</v>
      </c>
      <c r="G122" s="162">
        <v>43811</v>
      </c>
      <c r="H122" s="163">
        <f t="shared" si="0"/>
        <v>2019</v>
      </c>
      <c r="I122" s="159" t="s">
        <v>801</v>
      </c>
      <c r="J122" s="160">
        <v>39.409999999999997</v>
      </c>
      <c r="K122" s="160">
        <v>51.75</v>
      </c>
      <c r="L122" s="164">
        <v>12.29</v>
      </c>
      <c r="M122" s="165">
        <f t="shared" si="1"/>
        <v>3.2066720911310007</v>
      </c>
      <c r="N122" s="166" t="s">
        <v>847</v>
      </c>
      <c r="O122" s="159" t="s">
        <v>848</v>
      </c>
      <c r="P122" s="167" t="str">
        <f>HYPERLINK("https://my.pitchbook.com?c=127952-20T", "View company online")</f>
        <v>View company online</v>
      </c>
      <c r="Q122" s="156"/>
    </row>
    <row r="123" spans="2:17" hidden="1" x14ac:dyDescent="0.2">
      <c r="B123" s="159" t="s">
        <v>849</v>
      </c>
      <c r="C123" s="159" t="s">
        <v>850</v>
      </c>
      <c r="D123" s="160">
        <v>12.43</v>
      </c>
      <c r="E123" s="161" t="s">
        <v>851</v>
      </c>
      <c r="F123" s="159" t="s">
        <v>852</v>
      </c>
      <c r="G123" s="162">
        <v>43689</v>
      </c>
      <c r="H123" s="163">
        <f t="shared" si="0"/>
        <v>2019</v>
      </c>
      <c r="I123" s="159" t="s">
        <v>807</v>
      </c>
      <c r="J123" s="160">
        <v>987.57</v>
      </c>
      <c r="K123" s="160">
        <v>1000</v>
      </c>
      <c r="L123" s="164">
        <v>40.86</v>
      </c>
      <c r="M123" s="165">
        <f t="shared" si="1"/>
        <v>24.169603524229075</v>
      </c>
      <c r="N123" s="166" t="s">
        <v>853</v>
      </c>
      <c r="O123" s="159" t="s">
        <v>854</v>
      </c>
      <c r="P123" s="167" t="str">
        <f>HYPERLINK("https://my.pitchbook.com?c=179118-10T", "View company online")</f>
        <v>View company online</v>
      </c>
      <c r="Q123" s="156"/>
    </row>
    <row r="124" spans="2:17" hidden="1" x14ac:dyDescent="0.2">
      <c r="B124" s="159" t="s">
        <v>855</v>
      </c>
      <c r="C124" s="159" t="s">
        <v>856</v>
      </c>
      <c r="D124" s="160">
        <v>12.55</v>
      </c>
      <c r="E124" s="161" t="s">
        <v>799</v>
      </c>
      <c r="F124" s="159" t="s">
        <v>857</v>
      </c>
      <c r="G124" s="162">
        <v>43454</v>
      </c>
      <c r="H124" s="163">
        <f t="shared" si="0"/>
        <v>2018</v>
      </c>
      <c r="I124" s="159" t="s">
        <v>807</v>
      </c>
      <c r="J124" s="160">
        <v>44</v>
      </c>
      <c r="K124" s="160">
        <v>56.55</v>
      </c>
      <c r="L124" s="164">
        <v>8.4</v>
      </c>
      <c r="M124" s="165">
        <f t="shared" si="1"/>
        <v>5.2380952380952381</v>
      </c>
      <c r="N124" s="166" t="s">
        <v>858</v>
      </c>
      <c r="O124" s="159" t="s">
        <v>803</v>
      </c>
      <c r="P124" s="167" t="str">
        <f>HYPERLINK("https://my.pitchbook.com?c=115125-31T", "View company online")</f>
        <v>View company online</v>
      </c>
      <c r="Q124" s="156"/>
    </row>
    <row r="125" spans="2:17" hidden="1" x14ac:dyDescent="0.2">
      <c r="B125" s="159" t="s">
        <v>859</v>
      </c>
      <c r="C125" s="159" t="s">
        <v>860</v>
      </c>
      <c r="D125" s="160">
        <v>12.6</v>
      </c>
      <c r="E125" s="161" t="s">
        <v>799</v>
      </c>
      <c r="F125" s="159" t="s">
        <v>861</v>
      </c>
      <c r="G125" s="162">
        <v>43263</v>
      </c>
      <c r="H125" s="163">
        <f t="shared" si="0"/>
        <v>2018</v>
      </c>
      <c r="I125" s="159" t="s">
        <v>807</v>
      </c>
      <c r="J125" s="160">
        <v>21.64</v>
      </c>
      <c r="K125" s="160">
        <v>34.24</v>
      </c>
      <c r="L125" s="164">
        <v>2.4300000000000002</v>
      </c>
      <c r="M125" s="165">
        <f t="shared" si="1"/>
        <v>8.905349794238683</v>
      </c>
      <c r="N125" s="166" t="s">
        <v>862</v>
      </c>
      <c r="O125" s="159" t="s">
        <v>803</v>
      </c>
      <c r="P125" s="167" t="str">
        <f>HYPERLINK("https://my.pitchbook.com?c=105252-22T", "View company online")</f>
        <v>View company online</v>
      </c>
      <c r="Q125" s="156"/>
    </row>
    <row r="126" spans="2:17" hidden="1" x14ac:dyDescent="0.2">
      <c r="B126" s="159" t="s">
        <v>863</v>
      </c>
      <c r="C126" s="159" t="s">
        <v>864</v>
      </c>
      <c r="D126" s="160">
        <v>12.71</v>
      </c>
      <c r="E126" s="161" t="s">
        <v>452</v>
      </c>
      <c r="F126" s="159" t="s">
        <v>865</v>
      </c>
      <c r="G126" s="162">
        <v>44545</v>
      </c>
      <c r="H126" s="163">
        <f t="shared" si="0"/>
        <v>2021</v>
      </c>
      <c r="I126" s="159" t="s">
        <v>807</v>
      </c>
      <c r="J126" s="160">
        <v>38.14</v>
      </c>
      <c r="K126" s="160">
        <v>46.05</v>
      </c>
      <c r="L126" s="164">
        <v>1.76</v>
      </c>
      <c r="M126" s="165">
        <f t="shared" si="1"/>
        <v>21.670454545454547</v>
      </c>
      <c r="N126" s="166" t="s">
        <v>866</v>
      </c>
      <c r="O126" s="159" t="s">
        <v>867</v>
      </c>
      <c r="P126" s="167" t="str">
        <f>HYPERLINK("https://my.pitchbook.com?c=185118-31T", "View company online")</f>
        <v>View company online</v>
      </c>
      <c r="Q126" s="156"/>
    </row>
    <row r="127" spans="2:17" hidden="1" x14ac:dyDescent="0.2">
      <c r="B127" s="159" t="s">
        <v>868</v>
      </c>
      <c r="C127" s="159" t="s">
        <v>869</v>
      </c>
      <c r="D127" s="160">
        <v>12.88</v>
      </c>
      <c r="E127" s="161" t="s">
        <v>816</v>
      </c>
      <c r="F127" s="159" t="s">
        <v>870</v>
      </c>
      <c r="G127" s="162">
        <v>44377</v>
      </c>
      <c r="H127" s="163">
        <f t="shared" si="0"/>
        <v>2021</v>
      </c>
      <c r="I127" s="159" t="s">
        <v>807</v>
      </c>
      <c r="J127" s="160">
        <v>32.68</v>
      </c>
      <c r="K127" s="160">
        <v>45.56</v>
      </c>
      <c r="L127" s="164">
        <v>5.36</v>
      </c>
      <c r="M127" s="165">
        <f t="shared" si="1"/>
        <v>6.0970149253731343</v>
      </c>
      <c r="N127" s="166" t="s">
        <v>871</v>
      </c>
      <c r="O127" s="159" t="s">
        <v>872</v>
      </c>
      <c r="P127" s="167" t="str">
        <f>HYPERLINK("https://my.pitchbook.com?c=175322-80T", "View company online")</f>
        <v>View company online</v>
      </c>
      <c r="Q127" s="156"/>
    </row>
    <row r="128" spans="2:17" hidden="1" x14ac:dyDescent="0.2">
      <c r="B128" s="159" t="s">
        <v>873</v>
      </c>
      <c r="C128" s="159" t="s">
        <v>874</v>
      </c>
      <c r="D128" s="160">
        <v>12.92</v>
      </c>
      <c r="E128" s="161" t="s">
        <v>452</v>
      </c>
      <c r="F128" s="159" t="s">
        <v>875</v>
      </c>
      <c r="G128" s="162">
        <v>43656</v>
      </c>
      <c r="H128" s="163">
        <f t="shared" si="0"/>
        <v>2019</v>
      </c>
      <c r="I128" s="159" t="s">
        <v>801</v>
      </c>
      <c r="J128" s="160">
        <v>97.16</v>
      </c>
      <c r="K128" s="160">
        <v>110.08</v>
      </c>
      <c r="L128" s="164">
        <v>18.97</v>
      </c>
      <c r="M128" s="165">
        <f t="shared" si="1"/>
        <v>5.121771217712177</v>
      </c>
      <c r="N128" s="166" t="s">
        <v>876</v>
      </c>
      <c r="O128" s="159" t="s">
        <v>872</v>
      </c>
      <c r="P128" s="167" t="str">
        <f>HYPERLINK("https://my.pitchbook.com?c=126779-86T", "View company online")</f>
        <v>View company online</v>
      </c>
      <c r="Q128" s="156"/>
    </row>
    <row r="129" spans="2:17" hidden="1" x14ac:dyDescent="0.2">
      <c r="B129" s="159" t="s">
        <v>877</v>
      </c>
      <c r="C129" s="159" t="s">
        <v>878</v>
      </c>
      <c r="D129" s="160">
        <v>12.96</v>
      </c>
      <c r="E129" s="161" t="s">
        <v>799</v>
      </c>
      <c r="F129" s="159" t="s">
        <v>879</v>
      </c>
      <c r="G129" s="162">
        <v>44433</v>
      </c>
      <c r="H129" s="163">
        <f t="shared" si="0"/>
        <v>2021</v>
      </c>
      <c r="I129" s="159" t="s">
        <v>807</v>
      </c>
      <c r="J129" s="160">
        <v>15.04</v>
      </c>
      <c r="K129" s="160">
        <v>26.47</v>
      </c>
      <c r="L129" s="164">
        <v>5.05</v>
      </c>
      <c r="M129" s="165">
        <f t="shared" si="1"/>
        <v>2.9782178217821782</v>
      </c>
      <c r="N129" s="166" t="s">
        <v>880</v>
      </c>
      <c r="O129" s="159" t="s">
        <v>823</v>
      </c>
      <c r="P129" s="167" t="str">
        <f>HYPERLINK("https://my.pitchbook.com?c=174395-62T", "View company online")</f>
        <v>View company online</v>
      </c>
      <c r="Q129" s="156"/>
    </row>
    <row r="130" spans="2:17" hidden="1" x14ac:dyDescent="0.2">
      <c r="B130" s="159" t="s">
        <v>881</v>
      </c>
      <c r="C130" s="159" t="s">
        <v>882</v>
      </c>
      <c r="D130" s="160">
        <v>13</v>
      </c>
      <c r="E130" s="161" t="s">
        <v>816</v>
      </c>
      <c r="F130" s="159" t="s">
        <v>883</v>
      </c>
      <c r="G130" s="162">
        <v>43816</v>
      </c>
      <c r="H130" s="163">
        <f t="shared" si="0"/>
        <v>2019</v>
      </c>
      <c r="I130" s="159" t="s">
        <v>801</v>
      </c>
      <c r="J130" s="160">
        <v>48</v>
      </c>
      <c r="K130" s="160">
        <v>61</v>
      </c>
      <c r="L130" s="164">
        <v>2</v>
      </c>
      <c r="M130" s="165">
        <f t="shared" si="1"/>
        <v>24</v>
      </c>
      <c r="N130" s="166" t="s">
        <v>884</v>
      </c>
      <c r="O130" s="159" t="s">
        <v>809</v>
      </c>
      <c r="P130" s="167" t="str">
        <f>HYPERLINK("https://my.pitchbook.com?c=128232-91T", "View company online")</f>
        <v>View company online</v>
      </c>
      <c r="Q130" s="156"/>
    </row>
    <row r="131" spans="2:17" hidden="1" x14ac:dyDescent="0.2">
      <c r="B131" s="159" t="s">
        <v>885</v>
      </c>
      <c r="C131" s="159" t="s">
        <v>886</v>
      </c>
      <c r="D131" s="160">
        <v>13</v>
      </c>
      <c r="E131" s="161" t="s">
        <v>799</v>
      </c>
      <c r="F131" s="159" t="s">
        <v>887</v>
      </c>
      <c r="G131" s="162">
        <v>43819</v>
      </c>
      <c r="H131" s="163">
        <f t="shared" si="0"/>
        <v>2019</v>
      </c>
      <c r="I131" s="159" t="s">
        <v>807</v>
      </c>
      <c r="J131" s="160">
        <v>180</v>
      </c>
      <c r="K131" s="160">
        <v>193</v>
      </c>
      <c r="L131" s="164">
        <v>6</v>
      </c>
      <c r="M131" s="165">
        <f t="shared" si="1"/>
        <v>30</v>
      </c>
      <c r="N131" s="166" t="s">
        <v>888</v>
      </c>
      <c r="O131" s="159" t="s">
        <v>889</v>
      </c>
      <c r="P131" s="167" t="str">
        <f>HYPERLINK("https://my.pitchbook.com?c=153552-43T", "View company online")</f>
        <v>View company online</v>
      </c>
      <c r="Q131" s="156"/>
    </row>
    <row r="132" spans="2:17" hidden="1" x14ac:dyDescent="0.2">
      <c r="B132" s="159" t="s">
        <v>890</v>
      </c>
      <c r="C132" s="159" t="s">
        <v>891</v>
      </c>
      <c r="D132" s="160">
        <v>13</v>
      </c>
      <c r="E132" s="161" t="s">
        <v>816</v>
      </c>
      <c r="F132" s="159" t="s">
        <v>892</v>
      </c>
      <c r="G132" s="162">
        <v>43621</v>
      </c>
      <c r="H132" s="163">
        <f t="shared" si="0"/>
        <v>2019</v>
      </c>
      <c r="I132" s="159" t="s">
        <v>807</v>
      </c>
      <c r="J132" s="160">
        <v>20</v>
      </c>
      <c r="K132" s="160">
        <v>33</v>
      </c>
      <c r="L132" s="164">
        <v>5.3</v>
      </c>
      <c r="M132" s="165">
        <f t="shared" si="1"/>
        <v>3.7735849056603774</v>
      </c>
      <c r="N132" s="166" t="s">
        <v>893</v>
      </c>
      <c r="O132" s="159" t="s">
        <v>803</v>
      </c>
      <c r="P132" s="167" t="str">
        <f>HYPERLINK("https://my.pitchbook.com?c=119220-31T", "View company online")</f>
        <v>View company online</v>
      </c>
      <c r="Q132" s="156"/>
    </row>
    <row r="133" spans="2:17" hidden="1" x14ac:dyDescent="0.2">
      <c r="B133" s="159" t="s">
        <v>894</v>
      </c>
      <c r="C133" s="159" t="s">
        <v>895</v>
      </c>
      <c r="D133" s="160">
        <v>13.19</v>
      </c>
      <c r="E133" s="161" t="s">
        <v>826</v>
      </c>
      <c r="F133" s="159" t="s">
        <v>896</v>
      </c>
      <c r="G133" s="162">
        <v>43243</v>
      </c>
      <c r="H133" s="163">
        <f t="shared" si="0"/>
        <v>2018</v>
      </c>
      <c r="I133" s="159" t="s">
        <v>807</v>
      </c>
      <c r="J133" s="160">
        <v>533.27</v>
      </c>
      <c r="K133" s="160">
        <v>546.46</v>
      </c>
      <c r="L133" s="164">
        <v>14.46</v>
      </c>
      <c r="M133" s="165">
        <f t="shared" si="1"/>
        <v>36.878976486860303</v>
      </c>
      <c r="N133" s="166" t="s">
        <v>897</v>
      </c>
      <c r="O133" s="159" t="s">
        <v>803</v>
      </c>
      <c r="P133" s="167" t="str">
        <f>HYPERLINK("https://my.pitchbook.com?c=157994-29T", "View company online")</f>
        <v>View company online</v>
      </c>
      <c r="Q133" s="156"/>
    </row>
    <row r="134" spans="2:17" hidden="1" x14ac:dyDescent="0.2">
      <c r="B134" s="159" t="s">
        <v>898</v>
      </c>
      <c r="C134" s="159" t="s">
        <v>899</v>
      </c>
      <c r="D134" s="160">
        <v>13.28</v>
      </c>
      <c r="E134" s="161" t="s">
        <v>816</v>
      </c>
      <c r="F134" s="159" t="s">
        <v>900</v>
      </c>
      <c r="G134" s="162">
        <v>43797</v>
      </c>
      <c r="H134" s="163">
        <f t="shared" si="0"/>
        <v>2019</v>
      </c>
      <c r="I134" s="159" t="s">
        <v>807</v>
      </c>
      <c r="J134" s="160">
        <v>44.72</v>
      </c>
      <c r="K134" s="160">
        <v>53.57</v>
      </c>
      <c r="L134" s="164">
        <v>6</v>
      </c>
      <c r="M134" s="165">
        <f t="shared" si="1"/>
        <v>7.4533333333333331</v>
      </c>
      <c r="N134" s="166" t="s">
        <v>901</v>
      </c>
      <c r="O134" s="159" t="s">
        <v>803</v>
      </c>
      <c r="P134" s="167" t="str">
        <f>HYPERLINK("https://my.pitchbook.com?c=126626-95T", "View company online")</f>
        <v>View company online</v>
      </c>
      <c r="Q134" s="156"/>
    </row>
    <row r="135" spans="2:17" hidden="1" x14ac:dyDescent="0.2">
      <c r="B135" s="159" t="s">
        <v>902</v>
      </c>
      <c r="C135" s="159" t="s">
        <v>903</v>
      </c>
      <c r="D135" s="160">
        <v>13.91</v>
      </c>
      <c r="E135" s="161" t="s">
        <v>452</v>
      </c>
      <c r="F135" s="159" t="s">
        <v>904</v>
      </c>
      <c r="G135" s="162">
        <v>43166</v>
      </c>
      <c r="H135" s="163">
        <f t="shared" si="0"/>
        <v>2018</v>
      </c>
      <c r="I135" s="159" t="s">
        <v>807</v>
      </c>
      <c r="J135" s="160">
        <v>71.099999999999994</v>
      </c>
      <c r="K135" s="160">
        <v>85.01</v>
      </c>
      <c r="L135" s="164">
        <v>11.78</v>
      </c>
      <c r="M135" s="165">
        <f t="shared" si="1"/>
        <v>6.0356536502546687</v>
      </c>
      <c r="N135" s="166" t="s">
        <v>905</v>
      </c>
      <c r="O135" s="159" t="s">
        <v>803</v>
      </c>
      <c r="P135" s="167" t="str">
        <f>HYPERLINK("https://my.pitchbook.com?c=102402-91T", "View company online")</f>
        <v>View company online</v>
      </c>
      <c r="Q135" s="156"/>
    </row>
    <row r="136" spans="2:17" hidden="1" x14ac:dyDescent="0.2">
      <c r="B136" s="159" t="s">
        <v>906</v>
      </c>
      <c r="C136" s="159" t="s">
        <v>907</v>
      </c>
      <c r="D136" s="160">
        <v>13.96</v>
      </c>
      <c r="E136" s="161" t="s">
        <v>452</v>
      </c>
      <c r="F136" s="159" t="s">
        <v>908</v>
      </c>
      <c r="G136" s="162">
        <v>43381</v>
      </c>
      <c r="H136" s="163">
        <f t="shared" si="0"/>
        <v>2018</v>
      </c>
      <c r="I136" s="159" t="s">
        <v>807</v>
      </c>
      <c r="J136" s="160">
        <v>39.11</v>
      </c>
      <c r="K136" s="160">
        <v>53.07</v>
      </c>
      <c r="L136" s="164">
        <v>10.14</v>
      </c>
      <c r="M136" s="165">
        <f t="shared" si="1"/>
        <v>3.8570019723865876</v>
      </c>
      <c r="N136" s="166" t="s">
        <v>909</v>
      </c>
      <c r="O136" s="159" t="s">
        <v>910</v>
      </c>
      <c r="P136" s="167" t="str">
        <f>HYPERLINK("https://my.pitchbook.com?c=112687-12T", "View company online")</f>
        <v>View company online</v>
      </c>
      <c r="Q136" s="156"/>
    </row>
    <row r="137" spans="2:17" hidden="1" x14ac:dyDescent="0.2">
      <c r="B137" s="159" t="s">
        <v>911</v>
      </c>
      <c r="C137" s="159" t="s">
        <v>912</v>
      </c>
      <c r="D137" s="160">
        <v>14</v>
      </c>
      <c r="E137" s="161" t="s">
        <v>835</v>
      </c>
      <c r="F137" s="159" t="s">
        <v>913</v>
      </c>
      <c r="G137" s="162">
        <v>43524</v>
      </c>
      <c r="H137" s="163">
        <f t="shared" si="0"/>
        <v>2019</v>
      </c>
      <c r="I137" s="159" t="s">
        <v>807</v>
      </c>
      <c r="J137" s="160">
        <v>120</v>
      </c>
      <c r="K137" s="160">
        <v>130.1</v>
      </c>
      <c r="L137" s="164">
        <v>8.8000000000000007</v>
      </c>
      <c r="M137" s="165">
        <f t="shared" si="1"/>
        <v>13.636363636363635</v>
      </c>
      <c r="N137" s="166" t="s">
        <v>914</v>
      </c>
      <c r="O137" s="159" t="s">
        <v>854</v>
      </c>
      <c r="P137" s="167" t="str">
        <f>HYPERLINK("https://my.pitchbook.com?c=116876-71T", "View company online")</f>
        <v>View company online</v>
      </c>
      <c r="Q137" s="156"/>
    </row>
    <row r="138" spans="2:17" hidden="1" x14ac:dyDescent="0.2">
      <c r="B138" s="159" t="s">
        <v>915</v>
      </c>
      <c r="C138" s="159" t="s">
        <v>916</v>
      </c>
      <c r="D138" s="160">
        <v>14</v>
      </c>
      <c r="E138" s="161" t="s">
        <v>835</v>
      </c>
      <c r="F138" s="159" t="s">
        <v>917</v>
      </c>
      <c r="G138" s="162">
        <v>43468</v>
      </c>
      <c r="H138" s="163">
        <f t="shared" si="0"/>
        <v>2019</v>
      </c>
      <c r="I138" s="159" t="s">
        <v>807</v>
      </c>
      <c r="J138" s="160">
        <v>32</v>
      </c>
      <c r="K138" s="160">
        <v>46</v>
      </c>
      <c r="L138" s="164">
        <v>3.8</v>
      </c>
      <c r="M138" s="165">
        <f t="shared" si="1"/>
        <v>8.4210526315789469</v>
      </c>
      <c r="N138" s="166" t="s">
        <v>918</v>
      </c>
      <c r="O138" s="159" t="s">
        <v>919</v>
      </c>
      <c r="P138" s="167" t="str">
        <f>HYPERLINK("https://my.pitchbook.com?c=98141-86T", "View company online")</f>
        <v>View company online</v>
      </c>
      <c r="Q138" s="156"/>
    </row>
    <row r="139" spans="2:17" hidden="1" x14ac:dyDescent="0.2">
      <c r="B139" s="159" t="s">
        <v>920</v>
      </c>
      <c r="C139" s="159" t="s">
        <v>921</v>
      </c>
      <c r="D139" s="160">
        <v>14.04</v>
      </c>
      <c r="E139" s="161" t="s">
        <v>816</v>
      </c>
      <c r="F139" s="159" t="s">
        <v>922</v>
      </c>
      <c r="G139" s="162">
        <v>44496</v>
      </c>
      <c r="H139" s="163">
        <f t="shared" si="0"/>
        <v>2021</v>
      </c>
      <c r="I139" s="159" t="s">
        <v>801</v>
      </c>
      <c r="J139" s="160">
        <v>50</v>
      </c>
      <c r="K139" s="160">
        <v>64.040000000000006</v>
      </c>
      <c r="L139" s="164">
        <v>2</v>
      </c>
      <c r="M139" s="165">
        <f t="shared" si="1"/>
        <v>25</v>
      </c>
      <c r="N139" s="166" t="s">
        <v>923</v>
      </c>
      <c r="O139" s="159" t="s">
        <v>910</v>
      </c>
      <c r="P139" s="167" t="str">
        <f>HYPERLINK("https://my.pitchbook.com?c=182357-02T", "View company online")</f>
        <v>View company online</v>
      </c>
      <c r="Q139" s="156"/>
    </row>
    <row r="140" spans="2:17" hidden="1" x14ac:dyDescent="0.2">
      <c r="B140" s="159" t="s">
        <v>924</v>
      </c>
      <c r="C140" s="159" t="s">
        <v>925</v>
      </c>
      <c r="D140" s="160">
        <v>14.26</v>
      </c>
      <c r="E140" s="161" t="s">
        <v>816</v>
      </c>
      <c r="F140" s="159" t="s">
        <v>926</v>
      </c>
      <c r="G140" s="162">
        <v>43760</v>
      </c>
      <c r="H140" s="163">
        <f t="shared" si="0"/>
        <v>2019</v>
      </c>
      <c r="I140" s="159" t="s">
        <v>801</v>
      </c>
      <c r="J140" s="160">
        <v>27.36</v>
      </c>
      <c r="K140" s="160">
        <v>40.380000000000003</v>
      </c>
      <c r="L140" s="164">
        <v>1.24</v>
      </c>
      <c r="M140" s="165">
        <f t="shared" si="1"/>
        <v>22.064516129032256</v>
      </c>
      <c r="N140" s="166" t="s">
        <v>927</v>
      </c>
      <c r="O140" s="159" t="s">
        <v>803</v>
      </c>
      <c r="P140" s="167" t="str">
        <f>HYPERLINK("https://my.pitchbook.com?c=125134-39T", "View company online")</f>
        <v>View company online</v>
      </c>
      <c r="Q140" s="156"/>
    </row>
    <row r="141" spans="2:17" hidden="1" x14ac:dyDescent="0.2">
      <c r="B141" s="159" t="s">
        <v>928</v>
      </c>
      <c r="C141" s="159" t="s">
        <v>929</v>
      </c>
      <c r="D141" s="160">
        <v>14.63</v>
      </c>
      <c r="E141" s="161" t="s">
        <v>799</v>
      </c>
      <c r="F141" s="159" t="s">
        <v>930</v>
      </c>
      <c r="G141" s="162">
        <v>43733</v>
      </c>
      <c r="H141" s="163">
        <f t="shared" si="0"/>
        <v>2019</v>
      </c>
      <c r="I141" s="159" t="s">
        <v>807</v>
      </c>
      <c r="J141" s="160">
        <v>48.96</v>
      </c>
      <c r="K141" s="160">
        <v>63.59</v>
      </c>
      <c r="L141" s="164">
        <v>1.63</v>
      </c>
      <c r="M141" s="165">
        <f t="shared" si="1"/>
        <v>30.036809815950924</v>
      </c>
      <c r="N141" s="166" t="s">
        <v>931</v>
      </c>
      <c r="O141" s="159" t="s">
        <v>932</v>
      </c>
      <c r="P141" s="167" t="str">
        <f>HYPERLINK("https://my.pitchbook.com?c=123983-74T", "View company online")</f>
        <v>View company online</v>
      </c>
      <c r="Q141" s="156"/>
    </row>
    <row r="142" spans="2:17" hidden="1" x14ac:dyDescent="0.2">
      <c r="B142" s="159" t="s">
        <v>933</v>
      </c>
      <c r="C142" s="159" t="s">
        <v>934</v>
      </c>
      <c r="D142" s="160">
        <v>14.92</v>
      </c>
      <c r="E142" s="161" t="s">
        <v>452</v>
      </c>
      <c r="F142" s="159" t="s">
        <v>935</v>
      </c>
      <c r="G142" s="162">
        <v>43796</v>
      </c>
      <c r="H142" s="163">
        <f t="shared" si="0"/>
        <v>2019</v>
      </c>
      <c r="I142" s="159" t="s">
        <v>807</v>
      </c>
      <c r="J142" s="160">
        <v>356.82</v>
      </c>
      <c r="K142" s="160">
        <v>371.74</v>
      </c>
      <c r="L142" s="164">
        <v>26.69</v>
      </c>
      <c r="M142" s="165">
        <f t="shared" si="1"/>
        <v>13.369052079430498</v>
      </c>
      <c r="N142" s="166" t="s">
        <v>936</v>
      </c>
      <c r="O142" s="159" t="s">
        <v>803</v>
      </c>
      <c r="P142" s="167" t="str">
        <f>HYPERLINK("https://my.pitchbook.com?c=140374-90T", "View company online")</f>
        <v>View company online</v>
      </c>
      <c r="Q142" s="156"/>
    </row>
    <row r="143" spans="2:17" hidden="1" x14ac:dyDescent="0.2">
      <c r="B143" s="159" t="s">
        <v>937</v>
      </c>
      <c r="C143" s="159" t="s">
        <v>938</v>
      </c>
      <c r="D143" s="160">
        <v>15</v>
      </c>
      <c r="E143" s="161" t="s">
        <v>816</v>
      </c>
      <c r="F143" s="159" t="s">
        <v>939</v>
      </c>
      <c r="G143" s="162">
        <v>44049</v>
      </c>
      <c r="H143" s="163">
        <f t="shared" si="0"/>
        <v>2020</v>
      </c>
      <c r="I143" s="159" t="s">
        <v>807</v>
      </c>
      <c r="J143" s="160">
        <v>65</v>
      </c>
      <c r="K143" s="160">
        <v>80</v>
      </c>
      <c r="L143" s="164">
        <v>8</v>
      </c>
      <c r="M143" s="165">
        <f t="shared" si="1"/>
        <v>8.125</v>
      </c>
      <c r="N143" s="166" t="s">
        <v>940</v>
      </c>
      <c r="O143" s="159" t="s">
        <v>809</v>
      </c>
      <c r="P143" s="167" t="str">
        <f>HYPERLINK("https://my.pitchbook.com?c=142538-77T", "View company online")</f>
        <v>View company online</v>
      </c>
      <c r="Q143" s="156"/>
    </row>
    <row r="144" spans="2:17" hidden="1" x14ac:dyDescent="0.2">
      <c r="B144" s="159" t="s">
        <v>941</v>
      </c>
      <c r="C144" s="159" t="s">
        <v>942</v>
      </c>
      <c r="D144" s="160">
        <v>15</v>
      </c>
      <c r="E144" s="161" t="s">
        <v>816</v>
      </c>
      <c r="F144" s="159" t="s">
        <v>943</v>
      </c>
      <c r="G144" s="162">
        <v>43679</v>
      </c>
      <c r="H144" s="163">
        <f t="shared" si="0"/>
        <v>2019</v>
      </c>
      <c r="I144" s="159" t="s">
        <v>807</v>
      </c>
      <c r="J144" s="160">
        <v>55</v>
      </c>
      <c r="K144" s="160">
        <v>70</v>
      </c>
      <c r="L144" s="164">
        <v>31.5</v>
      </c>
      <c r="M144" s="165">
        <f t="shared" si="1"/>
        <v>1.746031746031746</v>
      </c>
      <c r="N144" s="166" t="s">
        <v>944</v>
      </c>
      <c r="O144" s="159" t="s">
        <v>803</v>
      </c>
      <c r="P144" s="167" t="str">
        <f>HYPERLINK("https://my.pitchbook.com?c=104163-94T", "View company online")</f>
        <v>View company online</v>
      </c>
      <c r="Q144" s="156"/>
    </row>
    <row r="145" spans="2:17" hidden="1" x14ac:dyDescent="0.2">
      <c r="B145" s="159" t="s">
        <v>945</v>
      </c>
      <c r="C145" s="159" t="s">
        <v>946</v>
      </c>
      <c r="D145" s="160">
        <v>15</v>
      </c>
      <c r="E145" s="161" t="s">
        <v>816</v>
      </c>
      <c r="F145" s="159" t="s">
        <v>947</v>
      </c>
      <c r="G145" s="162">
        <v>43270</v>
      </c>
      <c r="H145" s="163">
        <f t="shared" si="0"/>
        <v>2018</v>
      </c>
      <c r="I145" s="159" t="s">
        <v>807</v>
      </c>
      <c r="J145" s="160">
        <v>35</v>
      </c>
      <c r="K145" s="160">
        <v>50</v>
      </c>
      <c r="L145" s="164">
        <v>7.3</v>
      </c>
      <c r="M145" s="165">
        <f t="shared" si="1"/>
        <v>4.794520547945206</v>
      </c>
      <c r="N145" s="166" t="s">
        <v>948</v>
      </c>
      <c r="O145" s="159" t="s">
        <v>949</v>
      </c>
      <c r="P145" s="167" t="str">
        <f>HYPERLINK("https://my.pitchbook.com?c=107607-07T", "View company online")</f>
        <v>View company online</v>
      </c>
      <c r="Q145" s="156"/>
    </row>
    <row r="146" spans="2:17" hidden="1" x14ac:dyDescent="0.2">
      <c r="B146" s="159" t="s">
        <v>950</v>
      </c>
      <c r="C146" s="159" t="s">
        <v>951</v>
      </c>
      <c r="D146" s="160">
        <v>15</v>
      </c>
      <c r="E146" s="161" t="s">
        <v>835</v>
      </c>
      <c r="F146" s="159" t="s">
        <v>952</v>
      </c>
      <c r="G146" s="162">
        <v>43809</v>
      </c>
      <c r="H146" s="163">
        <f t="shared" si="0"/>
        <v>2019</v>
      </c>
      <c r="I146" s="159" t="s">
        <v>807</v>
      </c>
      <c r="J146" s="160">
        <v>90</v>
      </c>
      <c r="K146" s="160">
        <v>105</v>
      </c>
      <c r="L146" s="164">
        <v>13.37</v>
      </c>
      <c r="M146" s="165">
        <f t="shared" si="1"/>
        <v>6.7314884068810779</v>
      </c>
      <c r="N146" s="166" t="s">
        <v>953</v>
      </c>
      <c r="O146" s="159" t="s">
        <v>910</v>
      </c>
      <c r="P146" s="167" t="str">
        <f>HYPERLINK("https://my.pitchbook.com?c=127789-75T", "View company online")</f>
        <v>View company online</v>
      </c>
      <c r="Q146" s="156"/>
    </row>
    <row r="147" spans="2:17" hidden="1" x14ac:dyDescent="0.2">
      <c r="B147" s="159" t="s">
        <v>954</v>
      </c>
      <c r="C147" s="159" t="s">
        <v>955</v>
      </c>
      <c r="D147" s="160">
        <v>15</v>
      </c>
      <c r="E147" s="161" t="s">
        <v>799</v>
      </c>
      <c r="F147" s="159" t="s">
        <v>956</v>
      </c>
      <c r="G147" s="162">
        <v>43405</v>
      </c>
      <c r="H147" s="163">
        <f t="shared" si="0"/>
        <v>2018</v>
      </c>
      <c r="I147" s="159" t="s">
        <v>801</v>
      </c>
      <c r="J147" s="160">
        <v>120</v>
      </c>
      <c r="K147" s="160">
        <v>135</v>
      </c>
      <c r="L147" s="164">
        <v>39.78</v>
      </c>
      <c r="M147" s="165">
        <f t="shared" si="1"/>
        <v>3.0165912518853695</v>
      </c>
      <c r="N147" s="166" t="s">
        <v>957</v>
      </c>
      <c r="O147" s="159" t="s">
        <v>910</v>
      </c>
      <c r="P147" s="167" t="str">
        <f>HYPERLINK("https://my.pitchbook.com?c=113925-07T", "View company online")</f>
        <v>View company online</v>
      </c>
      <c r="Q147" s="156"/>
    </row>
    <row r="148" spans="2:17" hidden="1" x14ac:dyDescent="0.2">
      <c r="B148" s="159" t="s">
        <v>958</v>
      </c>
      <c r="C148" s="159" t="s">
        <v>959</v>
      </c>
      <c r="D148" s="160">
        <v>15</v>
      </c>
      <c r="E148" s="161" t="s">
        <v>799</v>
      </c>
      <c r="F148" s="159" t="s">
        <v>960</v>
      </c>
      <c r="G148" s="162">
        <v>43488</v>
      </c>
      <c r="H148" s="163">
        <f t="shared" si="0"/>
        <v>2019</v>
      </c>
      <c r="I148" s="159" t="s">
        <v>807</v>
      </c>
      <c r="J148" s="160">
        <v>75</v>
      </c>
      <c r="K148" s="160">
        <v>90</v>
      </c>
      <c r="L148" s="164">
        <v>6.2</v>
      </c>
      <c r="M148" s="165">
        <f t="shared" si="1"/>
        <v>12.096774193548386</v>
      </c>
      <c r="N148" s="166" t="s">
        <v>961</v>
      </c>
      <c r="O148" s="159" t="s">
        <v>838</v>
      </c>
      <c r="P148" s="167" t="str">
        <f>HYPERLINK("https://my.pitchbook.com?c=115973-29T", "View company online")</f>
        <v>View company online</v>
      </c>
      <c r="Q148" s="156"/>
    </row>
    <row r="149" spans="2:17" hidden="1" x14ac:dyDescent="0.2">
      <c r="B149" s="159" t="s">
        <v>962</v>
      </c>
      <c r="C149" s="159" t="s">
        <v>963</v>
      </c>
      <c r="D149" s="160">
        <v>15</v>
      </c>
      <c r="E149" s="161" t="s">
        <v>835</v>
      </c>
      <c r="F149" s="159" t="s">
        <v>964</v>
      </c>
      <c r="G149" s="162">
        <v>43928</v>
      </c>
      <c r="H149" s="163">
        <f t="shared" si="0"/>
        <v>2020</v>
      </c>
      <c r="I149" s="159" t="s">
        <v>807</v>
      </c>
      <c r="J149" s="160">
        <v>225</v>
      </c>
      <c r="K149" s="160">
        <v>239.56</v>
      </c>
      <c r="L149" s="164">
        <v>20</v>
      </c>
      <c r="M149" s="165">
        <f t="shared" si="1"/>
        <v>11.25</v>
      </c>
      <c r="N149" s="166" t="s">
        <v>965</v>
      </c>
      <c r="O149" s="159" t="s">
        <v>966</v>
      </c>
      <c r="P149" s="167" t="str">
        <f>HYPERLINK("https://my.pitchbook.com?c=134699-77T", "View company online")</f>
        <v>View company online</v>
      </c>
      <c r="Q149" s="156"/>
    </row>
    <row r="150" spans="2:17" hidden="1" x14ac:dyDescent="0.2">
      <c r="B150" s="159" t="s">
        <v>967</v>
      </c>
      <c r="C150" s="159" t="s">
        <v>968</v>
      </c>
      <c r="D150" s="160">
        <v>15.03</v>
      </c>
      <c r="E150" s="161" t="s">
        <v>799</v>
      </c>
      <c r="F150" s="159" t="s">
        <v>969</v>
      </c>
      <c r="G150" s="162">
        <v>43955</v>
      </c>
      <c r="H150" s="163">
        <f t="shared" si="0"/>
        <v>2020</v>
      </c>
      <c r="I150" s="159" t="s">
        <v>801</v>
      </c>
      <c r="J150" s="160">
        <v>28.24</v>
      </c>
      <c r="K150" s="160">
        <v>39.9</v>
      </c>
      <c r="L150" s="164">
        <v>14.78</v>
      </c>
      <c r="M150" s="165">
        <f t="shared" si="1"/>
        <v>1.9106901217861976</v>
      </c>
      <c r="N150" s="166" t="s">
        <v>970</v>
      </c>
      <c r="O150" s="159" t="s">
        <v>971</v>
      </c>
      <c r="P150" s="167" t="str">
        <f>HYPERLINK("https://my.pitchbook.com?c=135578-26T", "View company online")</f>
        <v>View company online</v>
      </c>
      <c r="Q150" s="156"/>
    </row>
    <row r="151" spans="2:17" hidden="1" x14ac:dyDescent="0.2">
      <c r="B151" s="159" t="s">
        <v>972</v>
      </c>
      <c r="C151" s="159" t="s">
        <v>973</v>
      </c>
      <c r="D151" s="160">
        <v>15.05</v>
      </c>
      <c r="E151" s="161" t="s">
        <v>799</v>
      </c>
      <c r="F151" s="159" t="s">
        <v>974</v>
      </c>
      <c r="G151" s="162">
        <v>44637</v>
      </c>
      <c r="H151" s="163">
        <f t="shared" si="0"/>
        <v>2022</v>
      </c>
      <c r="I151" s="159" t="s">
        <v>807</v>
      </c>
      <c r="J151" s="160">
        <v>24.84</v>
      </c>
      <c r="K151" s="160">
        <v>36.4</v>
      </c>
      <c r="L151" s="164">
        <v>1</v>
      </c>
      <c r="M151" s="165">
        <f t="shared" si="1"/>
        <v>24.84</v>
      </c>
      <c r="N151" s="166" t="s">
        <v>975</v>
      </c>
      <c r="O151" s="159" t="s">
        <v>976</v>
      </c>
      <c r="P151" s="167" t="str">
        <f>HYPERLINK("https://my.pitchbook.com?c=190414-99T", "View company online")</f>
        <v>View company online</v>
      </c>
      <c r="Q151" s="156"/>
    </row>
    <row r="152" spans="2:17" hidden="1" x14ac:dyDescent="0.2">
      <c r="B152" s="159" t="s">
        <v>977</v>
      </c>
      <c r="C152" s="159" t="s">
        <v>978</v>
      </c>
      <c r="D152" s="160">
        <v>15.1</v>
      </c>
      <c r="E152" s="161" t="s">
        <v>979</v>
      </c>
      <c r="F152" s="159" t="s">
        <v>980</v>
      </c>
      <c r="G152" s="162">
        <v>43213</v>
      </c>
      <c r="H152" s="163">
        <f t="shared" si="0"/>
        <v>2018</v>
      </c>
      <c r="I152" s="159" t="s">
        <v>807</v>
      </c>
      <c r="J152" s="160">
        <v>21.53</v>
      </c>
      <c r="K152" s="160">
        <v>35.44</v>
      </c>
      <c r="L152" s="164">
        <v>7.44</v>
      </c>
      <c r="M152" s="165">
        <f t="shared" si="1"/>
        <v>2.8938172043010755</v>
      </c>
      <c r="N152" s="166" t="s">
        <v>981</v>
      </c>
      <c r="O152" s="159" t="s">
        <v>803</v>
      </c>
      <c r="P152" s="167" t="str">
        <f>HYPERLINK("https://my.pitchbook.com?c=109325-08T", "View company online")</f>
        <v>View company online</v>
      </c>
      <c r="Q152" s="156"/>
    </row>
    <row r="153" spans="2:17" hidden="1" x14ac:dyDescent="0.2">
      <c r="B153" s="159" t="s">
        <v>982</v>
      </c>
      <c r="C153" s="159" t="s">
        <v>983</v>
      </c>
      <c r="D153" s="160">
        <v>15.13</v>
      </c>
      <c r="E153" s="161" t="s">
        <v>799</v>
      </c>
      <c r="F153" s="159" t="s">
        <v>984</v>
      </c>
      <c r="G153" s="162">
        <v>43364</v>
      </c>
      <c r="H153" s="163">
        <f t="shared" si="0"/>
        <v>2018</v>
      </c>
      <c r="I153" s="159" t="s">
        <v>807</v>
      </c>
      <c r="J153" s="160">
        <v>69.83</v>
      </c>
      <c r="K153" s="160">
        <v>84.96</v>
      </c>
      <c r="L153" s="164">
        <v>17.600000000000001</v>
      </c>
      <c r="M153" s="165">
        <f t="shared" si="1"/>
        <v>3.9676136363636361</v>
      </c>
      <c r="N153" s="166" t="s">
        <v>985</v>
      </c>
      <c r="O153" s="159" t="s">
        <v>803</v>
      </c>
      <c r="P153" s="167" t="str">
        <f>HYPERLINK("https://my.pitchbook.com?c=112165-12T", "View company online")</f>
        <v>View company online</v>
      </c>
      <c r="Q153" s="156"/>
    </row>
    <row r="154" spans="2:17" hidden="1" x14ac:dyDescent="0.2">
      <c r="B154" s="159" t="s">
        <v>986</v>
      </c>
      <c r="C154" s="159" t="s">
        <v>987</v>
      </c>
      <c r="D154" s="160">
        <v>15.54</v>
      </c>
      <c r="E154" s="161" t="s">
        <v>799</v>
      </c>
      <c r="F154" s="159" t="s">
        <v>988</v>
      </c>
      <c r="G154" s="162">
        <v>43901</v>
      </c>
      <c r="H154" s="163">
        <f t="shared" si="0"/>
        <v>2020</v>
      </c>
      <c r="I154" s="159" t="s">
        <v>807</v>
      </c>
      <c r="J154" s="160">
        <v>142.44999999999999</v>
      </c>
      <c r="K154" s="160">
        <v>157.88</v>
      </c>
      <c r="L154" s="164">
        <v>5</v>
      </c>
      <c r="M154" s="165">
        <f t="shared" si="1"/>
        <v>28.49</v>
      </c>
      <c r="N154" s="166" t="s">
        <v>989</v>
      </c>
      <c r="O154" s="159" t="s">
        <v>838</v>
      </c>
      <c r="P154" s="167" t="str">
        <f>HYPERLINK("https://my.pitchbook.com?c=135928-99T", "View company online")</f>
        <v>View company online</v>
      </c>
      <c r="Q154" s="156"/>
    </row>
    <row r="155" spans="2:17" hidden="1" x14ac:dyDescent="0.2">
      <c r="B155" s="159" t="s">
        <v>990</v>
      </c>
      <c r="C155" s="159" t="s">
        <v>991</v>
      </c>
      <c r="D155" s="160">
        <v>15.6</v>
      </c>
      <c r="E155" s="161" t="s">
        <v>799</v>
      </c>
      <c r="F155" s="159" t="s">
        <v>992</v>
      </c>
      <c r="G155" s="162">
        <v>43312</v>
      </c>
      <c r="H155" s="163">
        <f t="shared" si="0"/>
        <v>2018</v>
      </c>
      <c r="I155" s="159" t="s">
        <v>807</v>
      </c>
      <c r="J155" s="160">
        <v>44.53</v>
      </c>
      <c r="K155" s="160">
        <v>60.13</v>
      </c>
      <c r="L155" s="164">
        <v>12.95</v>
      </c>
      <c r="M155" s="165">
        <f t="shared" si="1"/>
        <v>3.4386100386100389</v>
      </c>
      <c r="N155" s="166" t="s">
        <v>993</v>
      </c>
      <c r="O155" s="159" t="s">
        <v>803</v>
      </c>
      <c r="P155" s="167" t="str">
        <f>HYPERLINK("https://my.pitchbook.com?c=88384-60T", "View company online")</f>
        <v>View company online</v>
      </c>
      <c r="Q155" s="156"/>
    </row>
    <row r="156" spans="2:17" hidden="1" x14ac:dyDescent="0.2">
      <c r="B156" s="159" t="s">
        <v>994</v>
      </c>
      <c r="C156" s="159" t="s">
        <v>995</v>
      </c>
      <c r="D156" s="160">
        <v>15.84</v>
      </c>
      <c r="E156" s="161" t="s">
        <v>452</v>
      </c>
      <c r="F156" s="159" t="s">
        <v>996</v>
      </c>
      <c r="G156" s="162">
        <v>43647</v>
      </c>
      <c r="H156" s="163">
        <f t="shared" si="0"/>
        <v>2019</v>
      </c>
      <c r="I156" s="159" t="s">
        <v>801</v>
      </c>
      <c r="J156" s="160">
        <v>69.67</v>
      </c>
      <c r="K156" s="160">
        <v>85.51</v>
      </c>
      <c r="L156" s="164">
        <v>4.96</v>
      </c>
      <c r="M156" s="165">
        <f t="shared" si="1"/>
        <v>14.046370967741936</v>
      </c>
      <c r="N156" s="166" t="s">
        <v>997</v>
      </c>
      <c r="O156" s="159" t="s">
        <v>803</v>
      </c>
      <c r="P156" s="167" t="str">
        <f>HYPERLINK("https://my.pitchbook.com?c=123312-88T", "View company online")</f>
        <v>View company online</v>
      </c>
      <c r="Q156" s="156"/>
    </row>
    <row r="157" spans="2:17" hidden="1" x14ac:dyDescent="0.2">
      <c r="B157" s="159" t="s">
        <v>998</v>
      </c>
      <c r="C157" s="159" t="s">
        <v>999</v>
      </c>
      <c r="D157" s="160">
        <v>16</v>
      </c>
      <c r="E157" s="161" t="s">
        <v>799</v>
      </c>
      <c r="F157" s="159" t="s">
        <v>1000</v>
      </c>
      <c r="G157" s="162">
        <v>43453</v>
      </c>
      <c r="H157" s="163">
        <f t="shared" si="0"/>
        <v>2018</v>
      </c>
      <c r="I157" s="159" t="s">
        <v>807</v>
      </c>
      <c r="J157" s="160">
        <v>55</v>
      </c>
      <c r="K157" s="160">
        <v>71</v>
      </c>
      <c r="L157" s="164">
        <v>4.2</v>
      </c>
      <c r="M157" s="165">
        <f t="shared" si="1"/>
        <v>13.095238095238095</v>
      </c>
      <c r="N157" s="166" t="s">
        <v>1001</v>
      </c>
      <c r="O157" s="159" t="s">
        <v>1002</v>
      </c>
      <c r="P157" s="167" t="str">
        <f>HYPERLINK("https://my.pitchbook.com?c=113761-90T", "View company online")</f>
        <v>View company online</v>
      </c>
      <c r="Q157" s="156"/>
    </row>
    <row r="158" spans="2:17" hidden="1" x14ac:dyDescent="0.2">
      <c r="B158" s="159" t="s">
        <v>1003</v>
      </c>
      <c r="C158" s="159" t="s">
        <v>1004</v>
      </c>
      <c r="D158" s="160">
        <v>16</v>
      </c>
      <c r="E158" s="161" t="s">
        <v>1005</v>
      </c>
      <c r="F158" s="159" t="s">
        <v>1006</v>
      </c>
      <c r="G158" s="162">
        <v>44258</v>
      </c>
      <c r="H158" s="163">
        <f t="shared" si="0"/>
        <v>2021</v>
      </c>
      <c r="I158" s="159" t="s">
        <v>807</v>
      </c>
      <c r="J158" s="160">
        <v>120</v>
      </c>
      <c r="K158" s="160">
        <v>136</v>
      </c>
      <c r="L158" s="164">
        <v>50</v>
      </c>
      <c r="M158" s="165">
        <f t="shared" si="1"/>
        <v>2.4</v>
      </c>
      <c r="N158" s="166" t="s">
        <v>1007</v>
      </c>
      <c r="O158" s="159" t="s">
        <v>966</v>
      </c>
      <c r="P158" s="167" t="str">
        <f>HYPERLINK("https://my.pitchbook.com?c=167768-92T", "View company online")</f>
        <v>View company online</v>
      </c>
      <c r="Q158" s="156"/>
    </row>
    <row r="159" spans="2:17" hidden="1" x14ac:dyDescent="0.2">
      <c r="B159" s="159" t="s">
        <v>1008</v>
      </c>
      <c r="C159" s="159" t="s">
        <v>1009</v>
      </c>
      <c r="D159" s="160">
        <v>16</v>
      </c>
      <c r="E159" s="161" t="s">
        <v>1005</v>
      </c>
      <c r="F159" s="159" t="s">
        <v>1010</v>
      </c>
      <c r="G159" s="162">
        <v>43177</v>
      </c>
      <c r="H159" s="163">
        <f t="shared" si="0"/>
        <v>2018</v>
      </c>
      <c r="I159" s="159" t="s">
        <v>807</v>
      </c>
      <c r="J159" s="160">
        <v>390</v>
      </c>
      <c r="K159" s="160">
        <v>406</v>
      </c>
      <c r="L159" s="164">
        <v>15.6</v>
      </c>
      <c r="M159" s="165">
        <f t="shared" si="1"/>
        <v>25</v>
      </c>
      <c r="N159" s="166" t="s">
        <v>1011</v>
      </c>
      <c r="O159" s="159" t="s">
        <v>838</v>
      </c>
      <c r="P159" s="167" t="str">
        <f>HYPERLINK("https://my.pitchbook.com?c=104839-03T", "View company online")</f>
        <v>View company online</v>
      </c>
      <c r="Q159" s="156"/>
    </row>
    <row r="160" spans="2:17" hidden="1" x14ac:dyDescent="0.2">
      <c r="B160" s="159" t="s">
        <v>1012</v>
      </c>
      <c r="C160" s="159" t="s">
        <v>1013</v>
      </c>
      <c r="D160" s="160">
        <v>16</v>
      </c>
      <c r="E160" s="161" t="s">
        <v>799</v>
      </c>
      <c r="F160" s="159" t="s">
        <v>1014</v>
      </c>
      <c r="G160" s="162">
        <v>43619</v>
      </c>
      <c r="H160" s="163">
        <f t="shared" si="0"/>
        <v>2019</v>
      </c>
      <c r="I160" s="159" t="s">
        <v>807</v>
      </c>
      <c r="J160" s="160">
        <v>200</v>
      </c>
      <c r="K160" s="160">
        <v>216</v>
      </c>
      <c r="L160" s="164">
        <v>8.6</v>
      </c>
      <c r="M160" s="165">
        <f t="shared" si="1"/>
        <v>23.255813953488374</v>
      </c>
      <c r="N160" s="166" t="s">
        <v>1015</v>
      </c>
      <c r="O160" s="159" t="s">
        <v>803</v>
      </c>
      <c r="P160" s="167" t="str">
        <f>HYPERLINK("https://my.pitchbook.com?c=121407-04T", "View company online")</f>
        <v>View company online</v>
      </c>
      <c r="Q160" s="156"/>
    </row>
    <row r="161" spans="2:17" hidden="1" x14ac:dyDescent="0.2">
      <c r="B161" s="159" t="s">
        <v>1016</v>
      </c>
      <c r="C161" s="159" t="s">
        <v>1017</v>
      </c>
      <c r="D161" s="160">
        <v>16.239999999999998</v>
      </c>
      <c r="E161" s="161" t="s">
        <v>452</v>
      </c>
      <c r="F161" s="159" t="s">
        <v>1018</v>
      </c>
      <c r="G161" s="162">
        <v>44287</v>
      </c>
      <c r="H161" s="163">
        <f t="shared" si="0"/>
        <v>2021</v>
      </c>
      <c r="I161" s="159" t="s">
        <v>807</v>
      </c>
      <c r="J161" s="160">
        <v>76.87</v>
      </c>
      <c r="K161" s="160">
        <v>93.11</v>
      </c>
      <c r="L161" s="164">
        <v>3.55</v>
      </c>
      <c r="M161" s="165">
        <f t="shared" si="1"/>
        <v>21.653521126760566</v>
      </c>
      <c r="N161" s="166" t="s">
        <v>1019</v>
      </c>
      <c r="O161" s="159" t="s">
        <v>910</v>
      </c>
      <c r="P161" s="167" t="str">
        <f>HYPERLINK("https://my.pitchbook.com?c=172278-82T", "View company online")</f>
        <v>View company online</v>
      </c>
      <c r="Q161" s="156"/>
    </row>
    <row r="162" spans="2:17" hidden="1" x14ac:dyDescent="0.2">
      <c r="B162" s="159" t="s">
        <v>1020</v>
      </c>
      <c r="C162" s="159" t="s">
        <v>1021</v>
      </c>
      <c r="D162" s="160">
        <v>16.239999999999998</v>
      </c>
      <c r="E162" s="161" t="s">
        <v>816</v>
      </c>
      <c r="F162" s="159" t="s">
        <v>1022</v>
      </c>
      <c r="G162" s="162">
        <v>44481</v>
      </c>
      <c r="H162" s="163">
        <f t="shared" si="0"/>
        <v>2021</v>
      </c>
      <c r="I162" s="159" t="s">
        <v>801</v>
      </c>
      <c r="J162" s="160">
        <v>57.96</v>
      </c>
      <c r="K162" s="160">
        <v>71.5</v>
      </c>
      <c r="L162" s="164">
        <v>12</v>
      </c>
      <c r="M162" s="165">
        <f t="shared" si="1"/>
        <v>4.83</v>
      </c>
      <c r="N162" s="166" t="s">
        <v>1023</v>
      </c>
      <c r="O162" s="159" t="s">
        <v>966</v>
      </c>
      <c r="P162" s="167" t="str">
        <f>HYPERLINK("https://my.pitchbook.com?c=180011-89T", "View company online")</f>
        <v>View company online</v>
      </c>
      <c r="Q162" s="156"/>
    </row>
    <row r="163" spans="2:17" hidden="1" x14ac:dyDescent="0.2">
      <c r="B163" s="159" t="s">
        <v>1024</v>
      </c>
      <c r="C163" s="159" t="s">
        <v>1025</v>
      </c>
      <c r="D163" s="160">
        <v>16.39</v>
      </c>
      <c r="E163" s="161" t="s">
        <v>835</v>
      </c>
      <c r="F163" s="159" t="s">
        <v>1026</v>
      </c>
      <c r="G163" s="162">
        <v>43283</v>
      </c>
      <c r="H163" s="163">
        <f t="shared" si="0"/>
        <v>2018</v>
      </c>
      <c r="I163" s="159" t="s">
        <v>807</v>
      </c>
      <c r="J163" s="160">
        <v>73.61</v>
      </c>
      <c r="K163" s="160">
        <v>90</v>
      </c>
      <c r="L163" s="164">
        <v>8.57</v>
      </c>
      <c r="M163" s="165">
        <f t="shared" si="1"/>
        <v>8.5892648774795788</v>
      </c>
      <c r="N163" s="166" t="s">
        <v>1027</v>
      </c>
      <c r="O163" s="159" t="s">
        <v>803</v>
      </c>
      <c r="P163" s="167" t="str">
        <f>HYPERLINK("https://my.pitchbook.com?c=108234-73T", "View company online")</f>
        <v>View company online</v>
      </c>
      <c r="Q163" s="156"/>
    </row>
    <row r="164" spans="2:17" hidden="1" x14ac:dyDescent="0.2">
      <c r="B164" s="159" t="s">
        <v>833</v>
      </c>
      <c r="C164" s="159" t="s">
        <v>834</v>
      </c>
      <c r="D164" s="160">
        <v>16.670000000000002</v>
      </c>
      <c r="E164" s="161" t="s">
        <v>452</v>
      </c>
      <c r="F164" s="159" t="s">
        <v>836</v>
      </c>
      <c r="G164" s="162">
        <v>43500</v>
      </c>
      <c r="H164" s="163">
        <f t="shared" si="0"/>
        <v>2019</v>
      </c>
      <c r="I164" s="159" t="s">
        <v>807</v>
      </c>
      <c r="J164" s="160">
        <v>134.4</v>
      </c>
      <c r="K164" s="160">
        <v>151.07</v>
      </c>
      <c r="L164" s="164">
        <v>3.94</v>
      </c>
      <c r="M164" s="165">
        <f t="shared" si="1"/>
        <v>34.111675126903556</v>
      </c>
      <c r="N164" s="166" t="s">
        <v>1028</v>
      </c>
      <c r="O164" s="159" t="s">
        <v>838</v>
      </c>
      <c r="P164" s="167" t="str">
        <f>HYPERLINK("https://my.pitchbook.com?c=116894-62T", "View company online")</f>
        <v>View company online</v>
      </c>
      <c r="Q164" s="156"/>
    </row>
    <row r="165" spans="2:17" hidden="1" x14ac:dyDescent="0.2">
      <c r="B165" s="159" t="s">
        <v>1029</v>
      </c>
      <c r="C165" s="159" t="s">
        <v>1030</v>
      </c>
      <c r="D165" s="160">
        <v>16.71</v>
      </c>
      <c r="E165" s="161" t="s">
        <v>816</v>
      </c>
      <c r="F165" s="159" t="s">
        <v>1031</v>
      </c>
      <c r="G165" s="162">
        <v>43840</v>
      </c>
      <c r="H165" s="163">
        <f t="shared" si="0"/>
        <v>2020</v>
      </c>
      <c r="I165" s="159" t="s">
        <v>807</v>
      </c>
      <c r="J165" s="160">
        <v>26.01</v>
      </c>
      <c r="K165" s="160">
        <v>37.159999999999997</v>
      </c>
      <c r="L165" s="164">
        <v>0.81</v>
      </c>
      <c r="M165" s="165">
        <f t="shared" si="1"/>
        <v>32.111111111111114</v>
      </c>
      <c r="N165" s="166" t="s">
        <v>1032</v>
      </c>
      <c r="O165" s="159" t="s">
        <v>1033</v>
      </c>
      <c r="P165" s="167" t="str">
        <f>HYPERLINK("https://my.pitchbook.com?c=129584-35T", "View company online")</f>
        <v>View company online</v>
      </c>
      <c r="Q165" s="156"/>
    </row>
    <row r="166" spans="2:17" hidden="1" x14ac:dyDescent="0.2">
      <c r="B166" s="159" t="s">
        <v>1034</v>
      </c>
      <c r="C166" s="159" t="s">
        <v>1035</v>
      </c>
      <c r="D166" s="160">
        <v>16.71</v>
      </c>
      <c r="E166" s="161" t="s">
        <v>452</v>
      </c>
      <c r="F166" s="159" t="s">
        <v>1036</v>
      </c>
      <c r="G166" s="162">
        <v>44349</v>
      </c>
      <c r="H166" s="163">
        <f t="shared" si="0"/>
        <v>2021</v>
      </c>
      <c r="I166" s="159" t="s">
        <v>807</v>
      </c>
      <c r="J166" s="160">
        <v>114.75</v>
      </c>
      <c r="K166" s="160">
        <v>131.47</v>
      </c>
      <c r="L166" s="164">
        <v>17.5</v>
      </c>
      <c r="M166" s="165">
        <f t="shared" si="1"/>
        <v>6.5571428571428569</v>
      </c>
      <c r="N166" s="166" t="s">
        <v>1037</v>
      </c>
      <c r="O166" s="159" t="s">
        <v>910</v>
      </c>
      <c r="P166" s="167" t="str">
        <f>HYPERLINK("https://my.pitchbook.com?c=184557-07T", "View company online")</f>
        <v>View company online</v>
      </c>
      <c r="Q166" s="156"/>
    </row>
    <row r="167" spans="2:17" hidden="1" x14ac:dyDescent="0.2">
      <c r="B167" s="159" t="s">
        <v>1038</v>
      </c>
      <c r="C167" s="159" t="s">
        <v>1039</v>
      </c>
      <c r="D167" s="160">
        <v>16.920000000000002</v>
      </c>
      <c r="E167" s="161" t="s">
        <v>816</v>
      </c>
      <c r="F167" s="159" t="s">
        <v>1040</v>
      </c>
      <c r="G167" s="162">
        <v>43889</v>
      </c>
      <c r="H167" s="163">
        <f t="shared" si="0"/>
        <v>2020</v>
      </c>
      <c r="I167" s="159" t="s">
        <v>807</v>
      </c>
      <c r="J167" s="160">
        <v>25.14</v>
      </c>
      <c r="K167" s="160">
        <v>42.06</v>
      </c>
      <c r="L167" s="164">
        <v>7.44</v>
      </c>
      <c r="M167" s="165">
        <f t="shared" si="1"/>
        <v>3.379032258064516</v>
      </c>
      <c r="N167" s="166" t="s">
        <v>1041</v>
      </c>
      <c r="O167" s="159" t="s">
        <v>803</v>
      </c>
      <c r="P167" s="167" t="str">
        <f>HYPERLINK("https://my.pitchbook.com?c=117252-91T", "View company online")</f>
        <v>View company online</v>
      </c>
      <c r="Q167" s="156"/>
    </row>
    <row r="168" spans="2:17" hidden="1" x14ac:dyDescent="0.2">
      <c r="B168" s="159" t="s">
        <v>1042</v>
      </c>
      <c r="C168" s="159" t="s">
        <v>1043</v>
      </c>
      <c r="D168" s="160">
        <v>16.96</v>
      </c>
      <c r="E168" s="161" t="s">
        <v>452</v>
      </c>
      <c r="F168" s="159" t="s">
        <v>1044</v>
      </c>
      <c r="G168" s="162">
        <v>43190</v>
      </c>
      <c r="H168" s="163">
        <f t="shared" si="0"/>
        <v>2018</v>
      </c>
      <c r="I168" s="159" t="s">
        <v>807</v>
      </c>
      <c r="J168" s="160">
        <v>54.11</v>
      </c>
      <c r="K168" s="160">
        <v>71.06</v>
      </c>
      <c r="L168" s="164">
        <v>14.26</v>
      </c>
      <c r="M168" s="165">
        <f t="shared" si="1"/>
        <v>3.7945301542776999</v>
      </c>
      <c r="N168" s="166" t="s">
        <v>1045</v>
      </c>
      <c r="O168" s="159" t="s">
        <v>838</v>
      </c>
      <c r="P168" s="167" t="str">
        <f>HYPERLINK("https://my.pitchbook.com?c=86040-91T", "View company online")</f>
        <v>View company online</v>
      </c>
      <c r="Q168" s="156"/>
    </row>
    <row r="169" spans="2:17" hidden="1" x14ac:dyDescent="0.2">
      <c r="B169" s="159" t="s">
        <v>1046</v>
      </c>
      <c r="C169" s="159" t="s">
        <v>1047</v>
      </c>
      <c r="D169" s="160">
        <v>16.98</v>
      </c>
      <c r="E169" s="161" t="s">
        <v>816</v>
      </c>
      <c r="F169" s="159" t="s">
        <v>1048</v>
      </c>
      <c r="G169" s="162">
        <v>44532</v>
      </c>
      <c r="H169" s="163">
        <f t="shared" si="0"/>
        <v>2021</v>
      </c>
      <c r="I169" s="159" t="s">
        <v>801</v>
      </c>
      <c r="J169" s="160">
        <v>30</v>
      </c>
      <c r="K169" s="160">
        <v>46.98</v>
      </c>
      <c r="L169" s="164">
        <v>10</v>
      </c>
      <c r="M169" s="165">
        <f t="shared" si="1"/>
        <v>3</v>
      </c>
      <c r="N169" s="166" t="s">
        <v>1049</v>
      </c>
      <c r="O169" s="159" t="s">
        <v>867</v>
      </c>
      <c r="P169" s="167" t="str">
        <f>HYPERLINK("https://my.pitchbook.com?c=178088-14T", "View company online")</f>
        <v>View company online</v>
      </c>
      <c r="Q169" s="156"/>
    </row>
    <row r="170" spans="2:17" hidden="1" x14ac:dyDescent="0.2">
      <c r="B170" s="159" t="s">
        <v>1050</v>
      </c>
      <c r="C170" s="159" t="s">
        <v>1051</v>
      </c>
      <c r="D170" s="160">
        <v>17</v>
      </c>
      <c r="E170" s="161" t="s">
        <v>1052</v>
      </c>
      <c r="F170" s="159" t="s">
        <v>1053</v>
      </c>
      <c r="G170" s="162">
        <v>43186</v>
      </c>
      <c r="H170" s="163">
        <f t="shared" si="0"/>
        <v>2018</v>
      </c>
      <c r="I170" s="159" t="s">
        <v>807</v>
      </c>
      <c r="J170" s="160">
        <v>583</v>
      </c>
      <c r="K170" s="160">
        <v>600</v>
      </c>
      <c r="L170" s="164">
        <v>27</v>
      </c>
      <c r="M170" s="165">
        <f t="shared" si="1"/>
        <v>21.592592592592592</v>
      </c>
      <c r="N170" s="166" t="s">
        <v>1054</v>
      </c>
      <c r="O170" s="159" t="s">
        <v>838</v>
      </c>
      <c r="P170" s="167" t="str">
        <f>HYPERLINK("https://my.pitchbook.com?c=103922-38T", "View company online")</f>
        <v>View company online</v>
      </c>
      <c r="Q170" s="156"/>
    </row>
    <row r="171" spans="2:17" hidden="1" x14ac:dyDescent="0.2">
      <c r="B171" s="159" t="s">
        <v>1055</v>
      </c>
      <c r="C171" s="159" t="s">
        <v>1056</v>
      </c>
      <c r="D171" s="160">
        <v>17</v>
      </c>
      <c r="E171" s="161" t="s">
        <v>799</v>
      </c>
      <c r="F171" s="159" t="s">
        <v>1057</v>
      </c>
      <c r="G171" s="162">
        <v>43965</v>
      </c>
      <c r="H171" s="163">
        <f t="shared" si="0"/>
        <v>2020</v>
      </c>
      <c r="I171" s="159" t="s">
        <v>807</v>
      </c>
      <c r="J171" s="160">
        <v>40</v>
      </c>
      <c r="K171" s="160">
        <v>57</v>
      </c>
      <c r="L171" s="164">
        <v>1.33</v>
      </c>
      <c r="M171" s="165">
        <f t="shared" si="1"/>
        <v>30.075187969924812</v>
      </c>
      <c r="N171" s="166" t="s">
        <v>1058</v>
      </c>
      <c r="O171" s="159" t="s">
        <v>803</v>
      </c>
      <c r="P171" s="167" t="str">
        <f>HYPERLINK("https://my.pitchbook.com?c=136499-50T", "View company online")</f>
        <v>View company online</v>
      </c>
      <c r="Q171" s="156"/>
    </row>
    <row r="172" spans="2:17" hidden="1" x14ac:dyDescent="0.2">
      <c r="B172" s="159" t="s">
        <v>1059</v>
      </c>
      <c r="C172" s="159" t="s">
        <v>1060</v>
      </c>
      <c r="D172" s="160">
        <v>17.21</v>
      </c>
      <c r="E172" s="161" t="s">
        <v>816</v>
      </c>
      <c r="F172" s="159" t="s">
        <v>1061</v>
      </c>
      <c r="G172" s="162">
        <v>43434</v>
      </c>
      <c r="H172" s="163">
        <f t="shared" si="0"/>
        <v>2018</v>
      </c>
      <c r="I172" s="159" t="s">
        <v>801</v>
      </c>
      <c r="J172" s="160">
        <v>21.94</v>
      </c>
      <c r="K172" s="160">
        <v>39.14</v>
      </c>
      <c r="L172" s="164">
        <v>5.37</v>
      </c>
      <c r="M172" s="165">
        <f t="shared" si="1"/>
        <v>4.0856610800744884</v>
      </c>
      <c r="N172" s="166" t="s">
        <v>1062</v>
      </c>
      <c r="O172" s="159" t="s">
        <v>1063</v>
      </c>
      <c r="P172" s="167" t="str">
        <f>HYPERLINK("https://my.pitchbook.com?c=114322-33T", "View company online")</f>
        <v>View company online</v>
      </c>
      <c r="Q172" s="156"/>
    </row>
    <row r="173" spans="2:17" x14ac:dyDescent="0.2">
      <c r="B173" s="159" t="s">
        <v>1064</v>
      </c>
      <c r="C173" s="159" t="s">
        <v>1065</v>
      </c>
      <c r="D173" s="160">
        <v>17.309999999999999</v>
      </c>
      <c r="E173" s="161" t="s">
        <v>452</v>
      </c>
      <c r="F173" s="159" t="s">
        <v>1066</v>
      </c>
      <c r="G173" s="162">
        <v>44722</v>
      </c>
      <c r="H173" s="163">
        <f t="shared" si="0"/>
        <v>2022</v>
      </c>
      <c r="I173" s="159" t="s">
        <v>807</v>
      </c>
      <c r="J173" s="160">
        <v>211.54</v>
      </c>
      <c r="K173" s="160">
        <v>228.85</v>
      </c>
      <c r="L173" s="164">
        <v>41.16</v>
      </c>
      <c r="M173" s="165">
        <f t="shared" si="1"/>
        <v>5.1394557823129254</v>
      </c>
      <c r="N173" s="166" t="s">
        <v>1067</v>
      </c>
      <c r="O173" s="159" t="s">
        <v>803</v>
      </c>
      <c r="P173" s="167" t="str">
        <f>HYPERLINK("https://my.pitchbook.com?c=191560-96T", "View company online")</f>
        <v>View company online</v>
      </c>
      <c r="Q173" s="156"/>
    </row>
    <row r="174" spans="2:17" hidden="1" x14ac:dyDescent="0.2">
      <c r="B174" s="159" t="s">
        <v>1068</v>
      </c>
      <c r="C174" s="159" t="s">
        <v>1069</v>
      </c>
      <c r="D174" s="160">
        <v>17.489999999999998</v>
      </c>
      <c r="E174" s="161" t="s">
        <v>452</v>
      </c>
      <c r="F174" s="159" t="s">
        <v>1070</v>
      </c>
      <c r="G174" s="162">
        <v>44299</v>
      </c>
      <c r="H174" s="163">
        <f t="shared" si="0"/>
        <v>2021</v>
      </c>
      <c r="I174" s="159" t="s">
        <v>807</v>
      </c>
      <c r="J174" s="160">
        <v>143.27000000000001</v>
      </c>
      <c r="K174" s="160">
        <v>160.76</v>
      </c>
      <c r="L174" s="164">
        <v>14.67</v>
      </c>
      <c r="M174" s="165">
        <f t="shared" si="1"/>
        <v>9.7661895023858225</v>
      </c>
      <c r="N174" s="166" t="s">
        <v>1071</v>
      </c>
      <c r="O174" s="159" t="s">
        <v>838</v>
      </c>
      <c r="P174" s="167" t="str">
        <f>HYPERLINK("https://my.pitchbook.com?c=159755-05T", "View company online")</f>
        <v>View company online</v>
      </c>
      <c r="Q174" s="156"/>
    </row>
    <row r="175" spans="2:17" hidden="1" x14ac:dyDescent="0.2">
      <c r="B175" s="159" t="s">
        <v>1072</v>
      </c>
      <c r="C175" s="159" t="s">
        <v>1073</v>
      </c>
      <c r="D175" s="160">
        <v>17.5</v>
      </c>
      <c r="E175" s="161" t="s">
        <v>1074</v>
      </c>
      <c r="F175" s="159" t="s">
        <v>1075</v>
      </c>
      <c r="G175" s="162">
        <v>44305</v>
      </c>
      <c r="H175" s="163">
        <f t="shared" si="0"/>
        <v>2021</v>
      </c>
      <c r="I175" s="159" t="s">
        <v>807</v>
      </c>
      <c r="J175" s="160">
        <v>110</v>
      </c>
      <c r="K175" s="160">
        <v>127.5</v>
      </c>
      <c r="L175" s="164">
        <v>20</v>
      </c>
      <c r="M175" s="165">
        <f t="shared" si="1"/>
        <v>5.5</v>
      </c>
      <c r="N175" s="166" t="s">
        <v>1076</v>
      </c>
      <c r="O175" s="159" t="s">
        <v>803</v>
      </c>
      <c r="P175" s="167" t="str">
        <f>HYPERLINK("https://my.pitchbook.com?c=114194-71T", "View company online")</f>
        <v>View company online</v>
      </c>
      <c r="Q175" s="156"/>
    </row>
    <row r="176" spans="2:17" hidden="1" x14ac:dyDescent="0.2">
      <c r="B176" s="159" t="s">
        <v>1077</v>
      </c>
      <c r="C176" s="159" t="s">
        <v>1078</v>
      </c>
      <c r="D176" s="160">
        <v>18</v>
      </c>
      <c r="E176" s="161" t="s">
        <v>799</v>
      </c>
      <c r="F176" s="159" t="s">
        <v>1079</v>
      </c>
      <c r="G176" s="162">
        <v>43375</v>
      </c>
      <c r="H176" s="163">
        <f t="shared" si="0"/>
        <v>2018</v>
      </c>
      <c r="I176" s="159" t="s">
        <v>807</v>
      </c>
      <c r="J176" s="160">
        <v>44</v>
      </c>
      <c r="K176" s="160">
        <v>62</v>
      </c>
      <c r="L176" s="164">
        <v>12.1</v>
      </c>
      <c r="M176" s="165">
        <f t="shared" si="1"/>
        <v>3.6363636363636367</v>
      </c>
      <c r="N176" s="166" t="s">
        <v>1080</v>
      </c>
      <c r="O176" s="159" t="s">
        <v>809</v>
      </c>
      <c r="P176" s="167" t="str">
        <f>HYPERLINK("https://my.pitchbook.com?c=167058-91T", "View company online")</f>
        <v>View company online</v>
      </c>
      <c r="Q176" s="156"/>
    </row>
    <row r="177" spans="2:17" hidden="1" x14ac:dyDescent="0.2">
      <c r="B177" s="159" t="s">
        <v>1081</v>
      </c>
      <c r="C177" s="159" t="s">
        <v>1082</v>
      </c>
      <c r="D177" s="160">
        <v>18.02</v>
      </c>
      <c r="E177" s="161" t="s">
        <v>799</v>
      </c>
      <c r="F177" s="159" t="s">
        <v>1083</v>
      </c>
      <c r="G177" s="162">
        <v>44182</v>
      </c>
      <c r="H177" s="163">
        <f t="shared" ref="H177:H240" si="2">YEAR(G177)</f>
        <v>2020</v>
      </c>
      <c r="I177" s="159" t="s">
        <v>801</v>
      </c>
      <c r="J177" s="160">
        <v>54.07</v>
      </c>
      <c r="K177" s="160">
        <v>72.099999999999994</v>
      </c>
      <c r="L177" s="164">
        <v>3.34</v>
      </c>
      <c r="M177" s="165">
        <f t="shared" ref="M177:M240" si="3">IFERROR(J177/L177," ")</f>
        <v>16.188622754491018</v>
      </c>
      <c r="N177" s="166" t="s">
        <v>1084</v>
      </c>
      <c r="O177" s="159" t="s">
        <v>803</v>
      </c>
      <c r="P177" s="167" t="str">
        <f>HYPERLINK("https://my.pitchbook.com?c=166052-08T", "View company online")</f>
        <v>View company online</v>
      </c>
      <c r="Q177" s="156"/>
    </row>
    <row r="178" spans="2:17" hidden="1" x14ac:dyDescent="0.2">
      <c r="B178" s="159" t="s">
        <v>1068</v>
      </c>
      <c r="C178" s="159" t="s">
        <v>1069</v>
      </c>
      <c r="D178" s="160">
        <v>18.079999999999998</v>
      </c>
      <c r="E178" s="161" t="s">
        <v>452</v>
      </c>
      <c r="F178" s="159" t="s">
        <v>1070</v>
      </c>
      <c r="G178" s="162">
        <v>43502</v>
      </c>
      <c r="H178" s="163">
        <f t="shared" si="2"/>
        <v>2019</v>
      </c>
      <c r="I178" s="159" t="s">
        <v>801</v>
      </c>
      <c r="J178" s="160">
        <v>61.62</v>
      </c>
      <c r="K178" s="160">
        <v>79.7</v>
      </c>
      <c r="L178" s="164">
        <v>4.71</v>
      </c>
      <c r="M178" s="165">
        <f t="shared" si="3"/>
        <v>13.082802547770701</v>
      </c>
      <c r="N178" s="166" t="s">
        <v>1085</v>
      </c>
      <c r="O178" s="159" t="s">
        <v>838</v>
      </c>
      <c r="P178" s="167" t="str">
        <f>HYPERLINK("https://my.pitchbook.com?c=116711-11T", "View company online")</f>
        <v>View company online</v>
      </c>
      <c r="Q178" s="156"/>
    </row>
    <row r="179" spans="2:17" hidden="1" x14ac:dyDescent="0.2">
      <c r="B179" s="159" t="s">
        <v>1086</v>
      </c>
      <c r="C179" s="159" t="s">
        <v>1087</v>
      </c>
      <c r="D179" s="160">
        <v>18.170000000000002</v>
      </c>
      <c r="E179" s="161" t="s">
        <v>816</v>
      </c>
      <c r="F179" s="159" t="s">
        <v>1088</v>
      </c>
      <c r="G179" s="162">
        <v>44103</v>
      </c>
      <c r="H179" s="163">
        <f t="shared" si="2"/>
        <v>2020</v>
      </c>
      <c r="I179" s="159" t="s">
        <v>801</v>
      </c>
      <c r="J179" s="160">
        <v>40.229999999999997</v>
      </c>
      <c r="K179" s="160">
        <v>58.39</v>
      </c>
      <c r="L179" s="164">
        <v>5.36</v>
      </c>
      <c r="M179" s="165">
        <f t="shared" si="3"/>
        <v>7.5055970149253719</v>
      </c>
      <c r="N179" s="166" t="s">
        <v>1089</v>
      </c>
      <c r="O179" s="159" t="s">
        <v>971</v>
      </c>
      <c r="P179" s="167" t="str">
        <f>HYPERLINK("https://my.pitchbook.com?c=156821-86T", "View company online")</f>
        <v>View company online</v>
      </c>
      <c r="Q179" s="156"/>
    </row>
    <row r="180" spans="2:17" hidden="1" x14ac:dyDescent="0.2">
      <c r="B180" s="159" t="s">
        <v>1090</v>
      </c>
      <c r="C180" s="159" t="s">
        <v>1091</v>
      </c>
      <c r="D180" s="160">
        <v>18.260000000000002</v>
      </c>
      <c r="E180" s="161" t="s">
        <v>816</v>
      </c>
      <c r="F180" s="159" t="s">
        <v>1092</v>
      </c>
      <c r="G180" s="162">
        <v>43860</v>
      </c>
      <c r="H180" s="163">
        <f t="shared" si="2"/>
        <v>2020</v>
      </c>
      <c r="I180" s="159" t="s">
        <v>801</v>
      </c>
      <c r="J180" s="160">
        <v>30</v>
      </c>
      <c r="K180" s="160">
        <v>48.26</v>
      </c>
      <c r="L180" s="164">
        <v>2.5</v>
      </c>
      <c r="M180" s="165">
        <f t="shared" si="3"/>
        <v>12</v>
      </c>
      <c r="N180" s="166" t="s">
        <v>1093</v>
      </c>
      <c r="O180" s="159" t="s">
        <v>838</v>
      </c>
      <c r="P180" s="167" t="str">
        <f>HYPERLINK("https://my.pitchbook.com?c=122806-00T", "View company online")</f>
        <v>View company online</v>
      </c>
      <c r="Q180" s="156"/>
    </row>
    <row r="181" spans="2:17" hidden="1" x14ac:dyDescent="0.2">
      <c r="B181" s="159" t="s">
        <v>1094</v>
      </c>
      <c r="C181" s="159" t="s">
        <v>1095</v>
      </c>
      <c r="D181" s="160">
        <v>18.36</v>
      </c>
      <c r="E181" s="161" t="s">
        <v>799</v>
      </c>
      <c r="F181" s="159" t="s">
        <v>1096</v>
      </c>
      <c r="G181" s="162">
        <v>43731</v>
      </c>
      <c r="H181" s="163">
        <f t="shared" si="2"/>
        <v>2019</v>
      </c>
      <c r="I181" s="159" t="s">
        <v>807</v>
      </c>
      <c r="J181" s="160">
        <v>53.27</v>
      </c>
      <c r="K181" s="160">
        <v>71.62</v>
      </c>
      <c r="L181" s="164">
        <v>6.54</v>
      </c>
      <c r="M181" s="165">
        <f t="shared" si="3"/>
        <v>8.1452599388379205</v>
      </c>
      <c r="N181" s="166" t="s">
        <v>1097</v>
      </c>
      <c r="O181" s="159" t="s">
        <v>803</v>
      </c>
      <c r="P181" s="167" t="str">
        <f>HYPERLINK("https://my.pitchbook.com?c=123752-53T", "View company online")</f>
        <v>View company online</v>
      </c>
      <c r="Q181" s="156"/>
    </row>
    <row r="182" spans="2:17" hidden="1" x14ac:dyDescent="0.2">
      <c r="B182" s="159" t="s">
        <v>1098</v>
      </c>
      <c r="C182" s="159" t="s">
        <v>1099</v>
      </c>
      <c r="D182" s="160">
        <v>18.39</v>
      </c>
      <c r="E182" s="161" t="s">
        <v>799</v>
      </c>
      <c r="F182" s="159" t="s">
        <v>1100</v>
      </c>
      <c r="G182" s="162">
        <v>43693</v>
      </c>
      <c r="H182" s="163">
        <f t="shared" si="2"/>
        <v>2019</v>
      </c>
      <c r="I182" s="159" t="s">
        <v>807</v>
      </c>
      <c r="J182" s="160">
        <v>48.24</v>
      </c>
      <c r="K182" s="160">
        <v>65.709999999999994</v>
      </c>
      <c r="L182" s="164">
        <v>3.49</v>
      </c>
      <c r="M182" s="165">
        <f t="shared" si="3"/>
        <v>13.822349570200572</v>
      </c>
      <c r="N182" s="166" t="s">
        <v>1101</v>
      </c>
      <c r="O182" s="159" t="s">
        <v>971</v>
      </c>
      <c r="P182" s="167" t="str">
        <f>HYPERLINK("https://my.pitchbook.com?c=119350-09T", "View company online")</f>
        <v>View company online</v>
      </c>
      <c r="Q182" s="156"/>
    </row>
    <row r="183" spans="2:17" hidden="1" x14ac:dyDescent="0.2">
      <c r="B183" s="159" t="s">
        <v>1102</v>
      </c>
      <c r="C183" s="159" t="s">
        <v>1103</v>
      </c>
      <c r="D183" s="160">
        <v>18.47</v>
      </c>
      <c r="E183" s="161" t="s">
        <v>799</v>
      </c>
      <c r="F183" s="159" t="s">
        <v>1104</v>
      </c>
      <c r="G183" s="162">
        <v>44010</v>
      </c>
      <c r="H183" s="163">
        <f t="shared" si="2"/>
        <v>2020</v>
      </c>
      <c r="I183" s="159" t="s">
        <v>807</v>
      </c>
      <c r="J183" s="160">
        <v>100.99</v>
      </c>
      <c r="K183" s="160">
        <v>119.46</v>
      </c>
      <c r="L183" s="164">
        <v>11.38</v>
      </c>
      <c r="M183" s="165">
        <f t="shared" si="3"/>
        <v>8.8743409490333907</v>
      </c>
      <c r="N183" s="166" t="s">
        <v>1105</v>
      </c>
      <c r="O183" s="159" t="s">
        <v>1033</v>
      </c>
      <c r="P183" s="167" t="str">
        <f>HYPERLINK("https://my.pitchbook.com?c=138807-46T", "View company online")</f>
        <v>View company online</v>
      </c>
      <c r="Q183" s="156"/>
    </row>
    <row r="184" spans="2:17" hidden="1" x14ac:dyDescent="0.2">
      <c r="B184" s="159" t="s">
        <v>1106</v>
      </c>
      <c r="C184" s="159" t="s">
        <v>1107</v>
      </c>
      <c r="D184" s="160">
        <v>18.5</v>
      </c>
      <c r="E184" s="161" t="s">
        <v>826</v>
      </c>
      <c r="F184" s="159" t="s">
        <v>1108</v>
      </c>
      <c r="G184" s="162">
        <v>43511</v>
      </c>
      <c r="H184" s="163">
        <f t="shared" si="2"/>
        <v>2019</v>
      </c>
      <c r="I184" s="159" t="s">
        <v>807</v>
      </c>
      <c r="J184" s="160">
        <v>131.5</v>
      </c>
      <c r="K184" s="160">
        <v>150</v>
      </c>
      <c r="L184" s="164">
        <v>55.74</v>
      </c>
      <c r="M184" s="165">
        <f t="shared" si="3"/>
        <v>2.3591675636885538</v>
      </c>
      <c r="N184" s="166" t="s">
        <v>1109</v>
      </c>
      <c r="O184" s="159" t="s">
        <v>803</v>
      </c>
      <c r="P184" s="167" t="str">
        <f>HYPERLINK("https://my.pitchbook.com?c=161030-71T", "View company online")</f>
        <v>View company online</v>
      </c>
      <c r="Q184" s="156"/>
    </row>
    <row r="185" spans="2:17" hidden="1" x14ac:dyDescent="0.2">
      <c r="B185" s="159" t="s">
        <v>1110</v>
      </c>
      <c r="C185" s="159" t="s">
        <v>1111</v>
      </c>
      <c r="D185" s="160">
        <v>18.5</v>
      </c>
      <c r="E185" s="161" t="s">
        <v>816</v>
      </c>
      <c r="F185" s="159" t="s">
        <v>1112</v>
      </c>
      <c r="G185" s="162">
        <v>43662</v>
      </c>
      <c r="H185" s="163">
        <f t="shared" si="2"/>
        <v>2019</v>
      </c>
      <c r="I185" s="159" t="s">
        <v>807</v>
      </c>
      <c r="J185" s="160">
        <v>31.5</v>
      </c>
      <c r="K185" s="160">
        <v>50</v>
      </c>
      <c r="L185" s="164">
        <v>9.84</v>
      </c>
      <c r="M185" s="165">
        <f t="shared" si="3"/>
        <v>3.2012195121951219</v>
      </c>
      <c r="N185" s="166" t="s">
        <v>1113</v>
      </c>
      <c r="O185" s="159" t="s">
        <v>803</v>
      </c>
      <c r="P185" s="167" t="str">
        <f>HYPERLINK("https://my.pitchbook.com?c=123596-20T", "View company online")</f>
        <v>View company online</v>
      </c>
      <c r="Q185" s="156"/>
    </row>
    <row r="186" spans="2:17" hidden="1" x14ac:dyDescent="0.2">
      <c r="B186" s="159" t="s">
        <v>1114</v>
      </c>
      <c r="C186" s="159" t="s">
        <v>1115</v>
      </c>
      <c r="D186" s="160">
        <v>18.54</v>
      </c>
      <c r="E186" s="161" t="s">
        <v>799</v>
      </c>
      <c r="F186" s="159" t="s">
        <v>1116</v>
      </c>
      <c r="G186" s="162">
        <v>43500</v>
      </c>
      <c r="H186" s="163">
        <f t="shared" si="2"/>
        <v>2019</v>
      </c>
      <c r="I186" s="159" t="s">
        <v>807</v>
      </c>
      <c r="J186" s="160">
        <v>70.489999999999995</v>
      </c>
      <c r="K186" s="160">
        <v>89.04</v>
      </c>
      <c r="L186" s="164">
        <v>6.98</v>
      </c>
      <c r="M186" s="165">
        <f t="shared" si="3"/>
        <v>10.098853868194841</v>
      </c>
      <c r="N186" s="166" t="s">
        <v>1117</v>
      </c>
      <c r="O186" s="159" t="s">
        <v>803</v>
      </c>
      <c r="P186" s="167" t="str">
        <f>HYPERLINK("https://my.pitchbook.com?c=116236-90T", "View company online")</f>
        <v>View company online</v>
      </c>
      <c r="Q186" s="156"/>
    </row>
    <row r="187" spans="2:17" hidden="1" x14ac:dyDescent="0.2">
      <c r="B187" s="159" t="s">
        <v>1118</v>
      </c>
      <c r="C187" s="159" t="s">
        <v>1119</v>
      </c>
      <c r="D187" s="160">
        <v>18.690000000000001</v>
      </c>
      <c r="E187" s="161" t="s">
        <v>826</v>
      </c>
      <c r="F187" s="159" t="s">
        <v>1120</v>
      </c>
      <c r="G187" s="162">
        <v>43949</v>
      </c>
      <c r="H187" s="163">
        <f t="shared" si="2"/>
        <v>2020</v>
      </c>
      <c r="I187" s="159" t="s">
        <v>807</v>
      </c>
      <c r="J187" s="160">
        <v>111.17</v>
      </c>
      <c r="K187" s="160">
        <v>129.86000000000001</v>
      </c>
      <c r="L187" s="164">
        <v>15.34</v>
      </c>
      <c r="M187" s="165">
        <f t="shared" si="3"/>
        <v>7.2470664928292052</v>
      </c>
      <c r="N187" s="166" t="s">
        <v>1121</v>
      </c>
      <c r="O187" s="159" t="s">
        <v>803</v>
      </c>
      <c r="P187" s="167" t="str">
        <f>HYPERLINK("https://my.pitchbook.com?c=135791-38T", "View company online")</f>
        <v>View company online</v>
      </c>
      <c r="Q187" s="156"/>
    </row>
    <row r="188" spans="2:17" hidden="1" x14ac:dyDescent="0.2">
      <c r="B188" s="159" t="s">
        <v>1122</v>
      </c>
      <c r="C188" s="159" t="s">
        <v>1123</v>
      </c>
      <c r="D188" s="160">
        <v>18.78</v>
      </c>
      <c r="E188" s="161" t="s">
        <v>452</v>
      </c>
      <c r="F188" s="159" t="s">
        <v>1124</v>
      </c>
      <c r="G188" s="162">
        <v>43993</v>
      </c>
      <c r="H188" s="163">
        <f t="shared" si="2"/>
        <v>2020</v>
      </c>
      <c r="I188" s="159" t="s">
        <v>801</v>
      </c>
      <c r="J188" s="160">
        <v>76.72</v>
      </c>
      <c r="K188" s="160">
        <v>95.5</v>
      </c>
      <c r="L188" s="164">
        <v>17.45</v>
      </c>
      <c r="M188" s="165">
        <f t="shared" si="3"/>
        <v>4.3965616045845275</v>
      </c>
      <c r="N188" s="166" t="s">
        <v>1125</v>
      </c>
      <c r="O188" s="159" t="s">
        <v>803</v>
      </c>
      <c r="P188" s="167" t="str">
        <f>HYPERLINK("https://my.pitchbook.com?c=137853-28T", "View company online")</f>
        <v>View company online</v>
      </c>
      <c r="Q188" s="156"/>
    </row>
    <row r="189" spans="2:17" hidden="1" x14ac:dyDescent="0.2">
      <c r="B189" s="159" t="s">
        <v>1126</v>
      </c>
      <c r="C189" s="159" t="s">
        <v>1127</v>
      </c>
      <c r="D189" s="160">
        <v>19</v>
      </c>
      <c r="E189" s="161" t="s">
        <v>799</v>
      </c>
      <c r="F189" s="159" t="s">
        <v>1128</v>
      </c>
      <c r="G189" s="162">
        <v>43543</v>
      </c>
      <c r="H189" s="163">
        <f t="shared" si="2"/>
        <v>2019</v>
      </c>
      <c r="I189" s="159" t="s">
        <v>807</v>
      </c>
      <c r="J189" s="160">
        <v>86</v>
      </c>
      <c r="K189" s="160">
        <v>105</v>
      </c>
      <c r="L189" s="164">
        <v>4.5999999999999996</v>
      </c>
      <c r="M189" s="165">
        <f t="shared" si="3"/>
        <v>18.695652173913047</v>
      </c>
      <c r="N189" s="166" t="s">
        <v>1129</v>
      </c>
      <c r="O189" s="159" t="s">
        <v>803</v>
      </c>
      <c r="P189" s="167" t="str">
        <f>HYPERLINK("https://my.pitchbook.com?c=117545-32T", "View company online")</f>
        <v>View company online</v>
      </c>
      <c r="Q189" s="156"/>
    </row>
    <row r="190" spans="2:17" hidden="1" x14ac:dyDescent="0.2">
      <c r="B190" s="159" t="s">
        <v>1130</v>
      </c>
      <c r="C190" s="159" t="s">
        <v>1131</v>
      </c>
      <c r="D190" s="160">
        <v>19.13</v>
      </c>
      <c r="E190" s="161" t="s">
        <v>452</v>
      </c>
      <c r="F190" s="159" t="s">
        <v>1132</v>
      </c>
      <c r="G190" s="162">
        <v>44022</v>
      </c>
      <c r="H190" s="163">
        <f t="shared" si="2"/>
        <v>2020</v>
      </c>
      <c r="I190" s="159" t="s">
        <v>807</v>
      </c>
      <c r="J190" s="160">
        <v>19.13</v>
      </c>
      <c r="K190" s="160">
        <v>38.26</v>
      </c>
      <c r="L190" s="164">
        <v>6.04</v>
      </c>
      <c r="M190" s="165">
        <f t="shared" si="3"/>
        <v>3.1672185430463573</v>
      </c>
      <c r="N190" s="166" t="s">
        <v>1133</v>
      </c>
      <c r="O190" s="159" t="s">
        <v>971</v>
      </c>
      <c r="P190" s="167" t="str">
        <f>HYPERLINK("https://my.pitchbook.com?c=139425-58T", "View company online")</f>
        <v>View company online</v>
      </c>
      <c r="Q190" s="156"/>
    </row>
    <row r="191" spans="2:17" hidden="1" x14ac:dyDescent="0.2">
      <c r="B191" s="159" t="s">
        <v>1134</v>
      </c>
      <c r="C191" s="159" t="s">
        <v>1135</v>
      </c>
      <c r="D191" s="160">
        <v>19.75</v>
      </c>
      <c r="E191" s="161" t="s">
        <v>452</v>
      </c>
      <c r="F191" s="159" t="s">
        <v>1136</v>
      </c>
      <c r="G191" s="162">
        <v>43185</v>
      </c>
      <c r="H191" s="163">
        <f t="shared" si="2"/>
        <v>2018</v>
      </c>
      <c r="I191" s="159" t="s">
        <v>807</v>
      </c>
      <c r="J191" s="160">
        <v>76.97</v>
      </c>
      <c r="K191" s="160">
        <v>96.71</v>
      </c>
      <c r="L191" s="164">
        <v>22.79</v>
      </c>
      <c r="M191" s="165">
        <f t="shared" si="3"/>
        <v>3.3773584905660377</v>
      </c>
      <c r="N191" s="166" t="s">
        <v>1137</v>
      </c>
      <c r="O191" s="159" t="s">
        <v>1138</v>
      </c>
      <c r="P191" s="167" t="str">
        <f>HYPERLINK("https://my.pitchbook.com?c=130809-88T", "View company online")</f>
        <v>View company online</v>
      </c>
      <c r="Q191" s="156"/>
    </row>
    <row r="192" spans="2:17" hidden="1" x14ac:dyDescent="0.2">
      <c r="B192" s="159" t="s">
        <v>1139</v>
      </c>
      <c r="C192" s="159" t="s">
        <v>1140</v>
      </c>
      <c r="D192" s="160">
        <v>19.79</v>
      </c>
      <c r="E192" s="161" t="s">
        <v>799</v>
      </c>
      <c r="F192" s="159" t="s">
        <v>1141</v>
      </c>
      <c r="G192" s="162">
        <v>43565</v>
      </c>
      <c r="H192" s="163">
        <f t="shared" si="2"/>
        <v>2019</v>
      </c>
      <c r="I192" s="159" t="s">
        <v>807</v>
      </c>
      <c r="J192" s="160">
        <v>48.48</v>
      </c>
      <c r="K192" s="160">
        <v>60.35</v>
      </c>
      <c r="L192" s="164">
        <v>4.05</v>
      </c>
      <c r="M192" s="165">
        <f t="shared" si="3"/>
        <v>11.97037037037037</v>
      </c>
      <c r="N192" s="166" t="s">
        <v>1142</v>
      </c>
      <c r="O192" s="159" t="s">
        <v>1002</v>
      </c>
      <c r="P192" s="167" t="str">
        <f>HYPERLINK("https://my.pitchbook.com?c=118101-52T", "View company online")</f>
        <v>View company online</v>
      </c>
      <c r="Q192" s="156"/>
    </row>
    <row r="193" spans="2:17" hidden="1" x14ac:dyDescent="0.2">
      <c r="B193" s="159" t="s">
        <v>1143</v>
      </c>
      <c r="C193" s="159" t="s">
        <v>1144</v>
      </c>
      <c r="D193" s="160">
        <v>19.86</v>
      </c>
      <c r="E193" s="161" t="s">
        <v>799</v>
      </c>
      <c r="F193" s="159" t="s">
        <v>1145</v>
      </c>
      <c r="G193" s="162">
        <v>44168</v>
      </c>
      <c r="H193" s="163">
        <f t="shared" si="2"/>
        <v>2020</v>
      </c>
      <c r="I193" s="159" t="s">
        <v>807</v>
      </c>
      <c r="J193" s="160">
        <v>41.44</v>
      </c>
      <c r="K193" s="160">
        <v>61.3</v>
      </c>
      <c r="L193" s="164">
        <v>3.44</v>
      </c>
      <c r="M193" s="165">
        <f t="shared" si="3"/>
        <v>12.046511627906977</v>
      </c>
      <c r="N193" s="166" t="s">
        <v>1146</v>
      </c>
      <c r="O193" s="159" t="s">
        <v>838</v>
      </c>
      <c r="P193" s="167" t="str">
        <f>HYPERLINK("https://my.pitchbook.com?c=160524-82T", "View company online")</f>
        <v>View company online</v>
      </c>
      <c r="Q193" s="156"/>
    </row>
    <row r="194" spans="2:17" hidden="1" x14ac:dyDescent="0.2">
      <c r="B194" s="159" t="s">
        <v>1147</v>
      </c>
      <c r="C194" s="159" t="s">
        <v>1148</v>
      </c>
      <c r="D194" s="160">
        <v>20</v>
      </c>
      <c r="E194" s="161" t="s">
        <v>1149</v>
      </c>
      <c r="F194" s="159" t="s">
        <v>1150</v>
      </c>
      <c r="G194" s="162">
        <v>43748</v>
      </c>
      <c r="H194" s="163">
        <f t="shared" si="2"/>
        <v>2019</v>
      </c>
      <c r="I194" s="159" t="s">
        <v>807</v>
      </c>
      <c r="J194" s="160">
        <v>610</v>
      </c>
      <c r="K194" s="160">
        <v>630</v>
      </c>
      <c r="L194" s="164">
        <v>123.16</v>
      </c>
      <c r="M194" s="165">
        <f t="shared" si="3"/>
        <v>4.9529067879181552</v>
      </c>
      <c r="N194" s="166" t="s">
        <v>1151</v>
      </c>
      <c r="O194" s="159" t="s">
        <v>1152</v>
      </c>
      <c r="P194" s="167" t="str">
        <f>HYPERLINK("https://my.pitchbook.com?c=124545-07T", "View company online")</f>
        <v>View company online</v>
      </c>
      <c r="Q194" s="156"/>
    </row>
    <row r="195" spans="2:17" hidden="1" x14ac:dyDescent="0.2">
      <c r="B195" s="159" t="s">
        <v>1153</v>
      </c>
      <c r="C195" s="159" t="s">
        <v>1154</v>
      </c>
      <c r="D195" s="160">
        <v>20</v>
      </c>
      <c r="E195" s="161" t="s">
        <v>816</v>
      </c>
      <c r="F195" s="159" t="s">
        <v>1155</v>
      </c>
      <c r="G195" s="162">
        <v>43865</v>
      </c>
      <c r="H195" s="163">
        <f t="shared" si="2"/>
        <v>2020</v>
      </c>
      <c r="I195" s="159" t="s">
        <v>801</v>
      </c>
      <c r="J195" s="160">
        <v>80</v>
      </c>
      <c r="K195" s="160">
        <v>100</v>
      </c>
      <c r="L195" s="164">
        <v>30</v>
      </c>
      <c r="M195" s="165">
        <f t="shared" si="3"/>
        <v>2.6666666666666665</v>
      </c>
      <c r="N195" s="166" t="s">
        <v>1156</v>
      </c>
      <c r="O195" s="159" t="s">
        <v>910</v>
      </c>
      <c r="P195" s="167" t="str">
        <f>HYPERLINK("https://my.pitchbook.com?c=129372-40T", "View company online")</f>
        <v>View company online</v>
      </c>
      <c r="Q195" s="156"/>
    </row>
    <row r="196" spans="2:17" hidden="1" x14ac:dyDescent="0.2">
      <c r="B196" s="159" t="s">
        <v>1157</v>
      </c>
      <c r="C196" s="159" t="s">
        <v>1158</v>
      </c>
      <c r="D196" s="160">
        <v>20</v>
      </c>
      <c r="E196" s="161" t="s">
        <v>816</v>
      </c>
      <c r="F196" s="159" t="s">
        <v>1159</v>
      </c>
      <c r="G196" s="162">
        <v>44349</v>
      </c>
      <c r="H196" s="163">
        <f t="shared" si="2"/>
        <v>2021</v>
      </c>
      <c r="I196" s="159" t="s">
        <v>801</v>
      </c>
      <c r="J196" s="160">
        <v>60</v>
      </c>
      <c r="K196" s="160">
        <v>80</v>
      </c>
      <c r="L196" s="164">
        <v>3</v>
      </c>
      <c r="M196" s="165">
        <f t="shared" si="3"/>
        <v>20</v>
      </c>
      <c r="N196" s="166" t="s">
        <v>1160</v>
      </c>
      <c r="O196" s="159" t="s">
        <v>1161</v>
      </c>
      <c r="P196" s="167" t="str">
        <f>HYPERLINK("https://my.pitchbook.com?c=173347-75T", "View company online")</f>
        <v>View company online</v>
      </c>
      <c r="Q196" s="156"/>
    </row>
    <row r="197" spans="2:17" hidden="1" x14ac:dyDescent="0.2">
      <c r="B197" s="159" t="s">
        <v>1162</v>
      </c>
      <c r="C197" s="159" t="s">
        <v>1163</v>
      </c>
      <c r="D197" s="160">
        <v>20</v>
      </c>
      <c r="E197" s="161" t="s">
        <v>452</v>
      </c>
      <c r="F197" s="159" t="s">
        <v>1164</v>
      </c>
      <c r="G197" s="162">
        <v>43381</v>
      </c>
      <c r="H197" s="163">
        <f t="shared" si="2"/>
        <v>2018</v>
      </c>
      <c r="I197" s="159" t="s">
        <v>807</v>
      </c>
      <c r="J197" s="160" t="s">
        <v>452</v>
      </c>
      <c r="K197" s="160">
        <v>2000</v>
      </c>
      <c r="L197" s="164">
        <v>656.01</v>
      </c>
      <c r="M197" s="165" t="str">
        <f t="shared" si="3"/>
        <v xml:space="preserve"> </v>
      </c>
      <c r="N197" s="166" t="s">
        <v>1165</v>
      </c>
      <c r="O197" s="159" t="s">
        <v>838</v>
      </c>
      <c r="P197" s="167" t="str">
        <f>HYPERLINK("https://my.pitchbook.com?c=112633-57T", "View company online")</f>
        <v>View company online</v>
      </c>
      <c r="Q197" s="156"/>
    </row>
    <row r="198" spans="2:17" hidden="1" x14ac:dyDescent="0.2">
      <c r="B198" s="159" t="s">
        <v>1166</v>
      </c>
      <c r="C198" s="159" t="s">
        <v>1167</v>
      </c>
      <c r="D198" s="160">
        <v>20</v>
      </c>
      <c r="E198" s="161" t="s">
        <v>799</v>
      </c>
      <c r="F198" s="159" t="s">
        <v>1168</v>
      </c>
      <c r="G198" s="162">
        <v>44172</v>
      </c>
      <c r="H198" s="163">
        <f t="shared" si="2"/>
        <v>2020</v>
      </c>
      <c r="I198" s="159" t="s">
        <v>807</v>
      </c>
      <c r="J198" s="160">
        <v>94</v>
      </c>
      <c r="K198" s="160">
        <v>114</v>
      </c>
      <c r="L198" s="164">
        <v>4.6100000000000003</v>
      </c>
      <c r="M198" s="165">
        <f t="shared" si="3"/>
        <v>20.390455531453362</v>
      </c>
      <c r="N198" s="166" t="s">
        <v>1169</v>
      </c>
      <c r="O198" s="159" t="s">
        <v>910</v>
      </c>
      <c r="P198" s="167" t="str">
        <f>HYPERLINK("https://my.pitchbook.com?c=160661-80T", "View company online")</f>
        <v>View company online</v>
      </c>
      <c r="Q198" s="156"/>
    </row>
    <row r="199" spans="2:17" hidden="1" x14ac:dyDescent="0.2">
      <c r="B199" s="159" t="s">
        <v>824</v>
      </c>
      <c r="C199" s="159" t="s">
        <v>825</v>
      </c>
      <c r="D199" s="160">
        <v>20</v>
      </c>
      <c r="E199" s="161" t="s">
        <v>1170</v>
      </c>
      <c r="F199" s="159" t="s">
        <v>827</v>
      </c>
      <c r="G199" s="162">
        <v>43704</v>
      </c>
      <c r="H199" s="163">
        <f t="shared" si="2"/>
        <v>2019</v>
      </c>
      <c r="I199" s="159" t="s">
        <v>807</v>
      </c>
      <c r="J199" s="160">
        <v>300</v>
      </c>
      <c r="K199" s="160">
        <v>320</v>
      </c>
      <c r="L199" s="164">
        <v>30.8</v>
      </c>
      <c r="M199" s="165">
        <f t="shared" si="3"/>
        <v>9.7402597402597397</v>
      </c>
      <c r="N199" s="166" t="s">
        <v>1171</v>
      </c>
      <c r="O199" s="159" t="s">
        <v>803</v>
      </c>
      <c r="P199" s="167" t="str">
        <f>HYPERLINK("https://my.pitchbook.com?c=122669-74T", "View company online")</f>
        <v>View company online</v>
      </c>
      <c r="Q199" s="156"/>
    </row>
    <row r="200" spans="2:17" hidden="1" x14ac:dyDescent="0.2">
      <c r="B200" s="159" t="s">
        <v>1172</v>
      </c>
      <c r="C200" s="159" t="s">
        <v>1173</v>
      </c>
      <c r="D200" s="160">
        <v>20</v>
      </c>
      <c r="E200" s="161" t="s">
        <v>816</v>
      </c>
      <c r="F200" s="159" t="s">
        <v>1174</v>
      </c>
      <c r="G200" s="162">
        <v>44399</v>
      </c>
      <c r="H200" s="163">
        <f t="shared" si="2"/>
        <v>2021</v>
      </c>
      <c r="I200" s="159" t="s">
        <v>807</v>
      </c>
      <c r="J200" s="160">
        <v>45</v>
      </c>
      <c r="K200" s="160">
        <v>57</v>
      </c>
      <c r="L200" s="164">
        <v>10</v>
      </c>
      <c r="M200" s="165">
        <f t="shared" si="3"/>
        <v>4.5</v>
      </c>
      <c r="N200" s="166" t="s">
        <v>1175</v>
      </c>
      <c r="O200" s="159" t="s">
        <v>910</v>
      </c>
      <c r="P200" s="167" t="str">
        <f>HYPERLINK("https://my.pitchbook.com?c=177022-63T", "View company online")</f>
        <v>View company online</v>
      </c>
      <c r="Q200" s="156"/>
    </row>
    <row r="201" spans="2:17" hidden="1" x14ac:dyDescent="0.2">
      <c r="B201" s="159" t="s">
        <v>1176</v>
      </c>
      <c r="C201" s="159" t="s">
        <v>1177</v>
      </c>
      <c r="D201" s="160">
        <v>20</v>
      </c>
      <c r="E201" s="161" t="s">
        <v>979</v>
      </c>
      <c r="F201" s="159" t="s">
        <v>1178</v>
      </c>
      <c r="G201" s="162">
        <v>43699</v>
      </c>
      <c r="H201" s="163">
        <f t="shared" si="2"/>
        <v>2019</v>
      </c>
      <c r="I201" s="159" t="s">
        <v>807</v>
      </c>
      <c r="J201" s="160">
        <v>420</v>
      </c>
      <c r="K201" s="160">
        <v>437.86</v>
      </c>
      <c r="L201" s="164">
        <v>35</v>
      </c>
      <c r="M201" s="165">
        <f t="shared" si="3"/>
        <v>12</v>
      </c>
      <c r="N201" s="166" t="s">
        <v>1179</v>
      </c>
      <c r="O201" s="159" t="s">
        <v>803</v>
      </c>
      <c r="P201" s="167" t="str">
        <f>HYPERLINK("https://my.pitchbook.com?c=122405-95T", "View company online")</f>
        <v>View company online</v>
      </c>
      <c r="Q201" s="156"/>
    </row>
    <row r="202" spans="2:17" hidden="1" x14ac:dyDescent="0.2">
      <c r="B202" s="159" t="s">
        <v>1180</v>
      </c>
      <c r="C202" s="159" t="s">
        <v>1181</v>
      </c>
      <c r="D202" s="160">
        <v>20.07</v>
      </c>
      <c r="E202" s="161" t="s">
        <v>799</v>
      </c>
      <c r="F202" s="159" t="s">
        <v>1182</v>
      </c>
      <c r="G202" s="162">
        <v>43878</v>
      </c>
      <c r="H202" s="163">
        <f t="shared" si="2"/>
        <v>2020</v>
      </c>
      <c r="I202" s="159" t="s">
        <v>807</v>
      </c>
      <c r="J202" s="160">
        <v>47.27</v>
      </c>
      <c r="K202" s="160">
        <v>62.59</v>
      </c>
      <c r="L202" s="164">
        <v>3.16</v>
      </c>
      <c r="M202" s="165">
        <f t="shared" si="3"/>
        <v>14.958860759493671</v>
      </c>
      <c r="N202" s="166" t="s">
        <v>1183</v>
      </c>
      <c r="O202" s="159" t="s">
        <v>838</v>
      </c>
      <c r="P202" s="167" t="str">
        <f>HYPERLINK("https://my.pitchbook.com?c=132096-70T", "View company online")</f>
        <v>View company online</v>
      </c>
      <c r="Q202" s="156"/>
    </row>
    <row r="203" spans="2:17" hidden="1" x14ac:dyDescent="0.2">
      <c r="B203" s="159" t="s">
        <v>1184</v>
      </c>
      <c r="C203" s="159" t="s">
        <v>1185</v>
      </c>
      <c r="D203" s="160">
        <v>20.07</v>
      </c>
      <c r="E203" s="161" t="s">
        <v>452</v>
      </c>
      <c r="F203" s="159" t="s">
        <v>1186</v>
      </c>
      <c r="G203" s="162">
        <v>43585</v>
      </c>
      <c r="H203" s="163">
        <f t="shared" si="2"/>
        <v>2019</v>
      </c>
      <c r="I203" s="159" t="s">
        <v>801</v>
      </c>
      <c r="J203" s="160">
        <v>3.16</v>
      </c>
      <c r="K203" s="160">
        <v>7.53</v>
      </c>
      <c r="L203" s="164">
        <v>0.48</v>
      </c>
      <c r="M203" s="165">
        <f t="shared" si="3"/>
        <v>6.5833333333333339</v>
      </c>
      <c r="N203" s="166" t="s">
        <v>1187</v>
      </c>
      <c r="O203" s="159" t="s">
        <v>1188</v>
      </c>
      <c r="P203" s="167" t="str">
        <f>HYPERLINK("https://my.pitchbook.com?c=122443-75T", "View company online")</f>
        <v>View company online</v>
      </c>
      <c r="Q203" s="156"/>
    </row>
    <row r="204" spans="2:17" hidden="1" x14ac:dyDescent="0.2">
      <c r="B204" s="159" t="s">
        <v>1189</v>
      </c>
      <c r="C204" s="159" t="s">
        <v>1190</v>
      </c>
      <c r="D204" s="160">
        <v>20.079999999999998</v>
      </c>
      <c r="E204" s="161" t="s">
        <v>816</v>
      </c>
      <c r="F204" s="159" t="s">
        <v>1191</v>
      </c>
      <c r="G204" s="162">
        <v>43775</v>
      </c>
      <c r="H204" s="163">
        <f t="shared" si="2"/>
        <v>2019</v>
      </c>
      <c r="I204" s="159" t="s">
        <v>801</v>
      </c>
      <c r="J204" s="160">
        <v>36.24</v>
      </c>
      <c r="K204" s="160">
        <v>50.1</v>
      </c>
      <c r="L204" s="164">
        <v>3.25</v>
      </c>
      <c r="M204" s="165">
        <f t="shared" si="3"/>
        <v>11.150769230769232</v>
      </c>
      <c r="N204" s="166" t="s">
        <v>1192</v>
      </c>
      <c r="O204" s="159" t="s">
        <v>803</v>
      </c>
      <c r="P204" s="167" t="str">
        <f>HYPERLINK("https://my.pitchbook.com?c=130446-64T", "View company online")</f>
        <v>View company online</v>
      </c>
      <c r="Q204" s="156"/>
    </row>
    <row r="205" spans="2:17" hidden="1" x14ac:dyDescent="0.2">
      <c r="B205" s="159" t="s">
        <v>1193</v>
      </c>
      <c r="C205" s="159" t="s">
        <v>1194</v>
      </c>
      <c r="D205" s="160">
        <v>20.16</v>
      </c>
      <c r="E205" s="161" t="s">
        <v>452</v>
      </c>
      <c r="F205" s="159" t="s">
        <v>1195</v>
      </c>
      <c r="G205" s="162">
        <v>43229</v>
      </c>
      <c r="H205" s="163">
        <f t="shared" si="2"/>
        <v>2018</v>
      </c>
      <c r="I205" s="159" t="s">
        <v>807</v>
      </c>
      <c r="J205" s="160">
        <v>55.41</v>
      </c>
      <c r="K205" s="160">
        <v>69.31</v>
      </c>
      <c r="L205" s="164">
        <v>6.91</v>
      </c>
      <c r="M205" s="165">
        <f t="shared" si="3"/>
        <v>8.0188133140376259</v>
      </c>
      <c r="N205" s="166" t="s">
        <v>1196</v>
      </c>
      <c r="O205" s="159" t="s">
        <v>1197</v>
      </c>
      <c r="P205" s="167" t="str">
        <f>HYPERLINK("https://my.pitchbook.com?c=105581-08T", "View company online")</f>
        <v>View company online</v>
      </c>
      <c r="Q205" s="156"/>
    </row>
    <row r="206" spans="2:17" hidden="1" x14ac:dyDescent="0.2">
      <c r="B206" s="159" t="s">
        <v>1198</v>
      </c>
      <c r="C206" s="159" t="s">
        <v>1199</v>
      </c>
      <c r="D206" s="160">
        <v>20.5</v>
      </c>
      <c r="E206" s="161" t="s">
        <v>1200</v>
      </c>
      <c r="F206" s="159" t="s">
        <v>1201</v>
      </c>
      <c r="G206" s="162">
        <v>43741</v>
      </c>
      <c r="H206" s="163">
        <f t="shared" si="2"/>
        <v>2019</v>
      </c>
      <c r="I206" s="159" t="s">
        <v>807</v>
      </c>
      <c r="J206" s="160">
        <v>90</v>
      </c>
      <c r="K206" s="160">
        <v>110.5</v>
      </c>
      <c r="L206" s="164">
        <v>8.1999999999999993</v>
      </c>
      <c r="M206" s="165">
        <f t="shared" si="3"/>
        <v>10.975609756097562</v>
      </c>
      <c r="N206" s="166" t="s">
        <v>1202</v>
      </c>
      <c r="O206" s="159" t="s">
        <v>803</v>
      </c>
      <c r="P206" s="167" t="str">
        <f>HYPERLINK("https://my.pitchbook.com?c=129480-67T", "View company online")</f>
        <v>View company online</v>
      </c>
      <c r="Q206" s="156"/>
    </row>
    <row r="207" spans="2:17" hidden="1" x14ac:dyDescent="0.2">
      <c r="B207" s="159" t="s">
        <v>1203</v>
      </c>
      <c r="C207" s="159" t="s">
        <v>1204</v>
      </c>
      <c r="D207" s="160">
        <v>20.87</v>
      </c>
      <c r="E207" s="161" t="s">
        <v>799</v>
      </c>
      <c r="F207" s="159" t="s">
        <v>1205</v>
      </c>
      <c r="G207" s="162">
        <v>44167</v>
      </c>
      <c r="H207" s="163">
        <f t="shared" si="2"/>
        <v>2020</v>
      </c>
      <c r="I207" s="159" t="s">
        <v>807</v>
      </c>
      <c r="J207" s="160">
        <v>87.77</v>
      </c>
      <c r="K207" s="160">
        <v>108.65</v>
      </c>
      <c r="L207" s="164">
        <v>5.24</v>
      </c>
      <c r="M207" s="165">
        <f t="shared" si="3"/>
        <v>16.75</v>
      </c>
      <c r="N207" s="166" t="s">
        <v>1206</v>
      </c>
      <c r="O207" s="159" t="s">
        <v>1161</v>
      </c>
      <c r="P207" s="167" t="str">
        <f>HYPERLINK("https://my.pitchbook.com?c=160424-56T", "View company online")</f>
        <v>View company online</v>
      </c>
      <c r="Q207" s="156"/>
    </row>
    <row r="208" spans="2:17" hidden="1" x14ac:dyDescent="0.2">
      <c r="B208" s="159" t="s">
        <v>1207</v>
      </c>
      <c r="C208" s="159" t="s">
        <v>1208</v>
      </c>
      <c r="D208" s="160">
        <v>21</v>
      </c>
      <c r="E208" s="161" t="s">
        <v>835</v>
      </c>
      <c r="F208" s="159" t="s">
        <v>1209</v>
      </c>
      <c r="G208" s="162">
        <v>43593</v>
      </c>
      <c r="H208" s="163">
        <f t="shared" si="2"/>
        <v>2019</v>
      </c>
      <c r="I208" s="159" t="s">
        <v>807</v>
      </c>
      <c r="J208" s="160">
        <v>115</v>
      </c>
      <c r="K208" s="160">
        <v>135.69999999999999</v>
      </c>
      <c r="L208" s="164">
        <v>25</v>
      </c>
      <c r="M208" s="165">
        <f t="shared" si="3"/>
        <v>4.5999999999999996</v>
      </c>
      <c r="N208" s="166" t="s">
        <v>1210</v>
      </c>
      <c r="O208" s="159" t="s">
        <v>803</v>
      </c>
      <c r="P208" s="167" t="str">
        <f>HYPERLINK("https://my.pitchbook.com?c=118707-58T", "View company online")</f>
        <v>View company online</v>
      </c>
      <c r="Q208" s="156"/>
    </row>
    <row r="209" spans="2:17" hidden="1" x14ac:dyDescent="0.2">
      <c r="B209" s="159" t="s">
        <v>1211</v>
      </c>
      <c r="C209" s="159" t="s">
        <v>1212</v>
      </c>
      <c r="D209" s="160">
        <v>21</v>
      </c>
      <c r="E209" s="161" t="s">
        <v>799</v>
      </c>
      <c r="F209" s="159" t="s">
        <v>1213</v>
      </c>
      <c r="G209" s="162">
        <v>43222</v>
      </c>
      <c r="H209" s="163">
        <f t="shared" si="2"/>
        <v>2018</v>
      </c>
      <c r="I209" s="159" t="s">
        <v>801</v>
      </c>
      <c r="J209" s="160">
        <v>66.400000000000006</v>
      </c>
      <c r="K209" s="160">
        <v>85.75</v>
      </c>
      <c r="L209" s="164">
        <v>10.1</v>
      </c>
      <c r="M209" s="165">
        <f t="shared" si="3"/>
        <v>6.5742574257425748</v>
      </c>
      <c r="N209" s="166" t="s">
        <v>1214</v>
      </c>
      <c r="O209" s="159" t="s">
        <v>803</v>
      </c>
      <c r="P209" s="167" t="str">
        <f>HYPERLINK("https://my.pitchbook.com?c=104018-14T", "View company online")</f>
        <v>View company online</v>
      </c>
      <c r="Q209" s="156"/>
    </row>
    <row r="210" spans="2:17" hidden="1" x14ac:dyDescent="0.2">
      <c r="B210" s="159" t="s">
        <v>1215</v>
      </c>
      <c r="C210" s="159" t="s">
        <v>1216</v>
      </c>
      <c r="D210" s="160">
        <v>21</v>
      </c>
      <c r="E210" s="161" t="s">
        <v>1074</v>
      </c>
      <c r="F210" s="159" t="s">
        <v>1217</v>
      </c>
      <c r="G210" s="162">
        <v>43488</v>
      </c>
      <c r="H210" s="163">
        <f t="shared" si="2"/>
        <v>2019</v>
      </c>
      <c r="I210" s="159" t="s">
        <v>807</v>
      </c>
      <c r="J210" s="160">
        <v>76</v>
      </c>
      <c r="K210" s="160">
        <v>97</v>
      </c>
      <c r="L210" s="164">
        <v>30.3</v>
      </c>
      <c r="M210" s="165">
        <f t="shared" si="3"/>
        <v>2.5082508250825084</v>
      </c>
      <c r="N210" s="166" t="s">
        <v>1218</v>
      </c>
      <c r="O210" s="159" t="s">
        <v>823</v>
      </c>
      <c r="P210" s="167" t="str">
        <f>HYPERLINK("https://my.pitchbook.com?c=116145-37T", "View company online")</f>
        <v>View company online</v>
      </c>
      <c r="Q210" s="156"/>
    </row>
    <row r="211" spans="2:17" hidden="1" x14ac:dyDescent="0.2">
      <c r="B211" s="159" t="s">
        <v>1219</v>
      </c>
      <c r="C211" s="159" t="s">
        <v>1220</v>
      </c>
      <c r="D211" s="160">
        <v>21</v>
      </c>
      <c r="E211" s="161" t="s">
        <v>816</v>
      </c>
      <c r="F211" s="159" t="s">
        <v>1221</v>
      </c>
      <c r="G211" s="162">
        <v>44608</v>
      </c>
      <c r="H211" s="163">
        <f t="shared" si="2"/>
        <v>2022</v>
      </c>
      <c r="I211" s="159" t="s">
        <v>807</v>
      </c>
      <c r="J211" s="160">
        <v>75</v>
      </c>
      <c r="K211" s="160">
        <v>96</v>
      </c>
      <c r="L211" s="164">
        <v>1.64</v>
      </c>
      <c r="M211" s="165">
        <f t="shared" si="3"/>
        <v>45.731707317073173</v>
      </c>
      <c r="N211" s="166" t="s">
        <v>1222</v>
      </c>
      <c r="O211" s="159" t="s">
        <v>1002</v>
      </c>
      <c r="P211" s="167" t="str">
        <f>HYPERLINK("https://my.pitchbook.com?c=188609-23T", "View company online")</f>
        <v>View company online</v>
      </c>
      <c r="Q211" s="156"/>
    </row>
    <row r="212" spans="2:17" hidden="1" x14ac:dyDescent="0.2">
      <c r="B212" s="159" t="s">
        <v>1223</v>
      </c>
      <c r="C212" s="159" t="s">
        <v>1224</v>
      </c>
      <c r="D212" s="160">
        <v>21.5</v>
      </c>
      <c r="E212" s="161" t="s">
        <v>799</v>
      </c>
      <c r="F212" s="159" t="s">
        <v>1225</v>
      </c>
      <c r="G212" s="162">
        <v>43717</v>
      </c>
      <c r="H212" s="163">
        <f t="shared" si="2"/>
        <v>2019</v>
      </c>
      <c r="I212" s="159" t="s">
        <v>801</v>
      </c>
      <c r="J212" s="160">
        <v>36.340000000000003</v>
      </c>
      <c r="K212" s="160">
        <v>54.19</v>
      </c>
      <c r="L212" s="164">
        <v>1</v>
      </c>
      <c r="M212" s="165">
        <f t="shared" si="3"/>
        <v>36.340000000000003</v>
      </c>
      <c r="N212" s="166" t="s">
        <v>1226</v>
      </c>
      <c r="O212" s="159" t="s">
        <v>803</v>
      </c>
      <c r="P212" s="167" t="str">
        <f>HYPERLINK("https://my.pitchbook.com?c=123119-65T", "View company online")</f>
        <v>View company online</v>
      </c>
      <c r="Q212" s="156"/>
    </row>
    <row r="213" spans="2:17" hidden="1" x14ac:dyDescent="0.2">
      <c r="B213" s="159" t="s">
        <v>1227</v>
      </c>
      <c r="C213" s="159" t="s">
        <v>1228</v>
      </c>
      <c r="D213" s="160">
        <v>21.61</v>
      </c>
      <c r="E213" s="161" t="s">
        <v>835</v>
      </c>
      <c r="F213" s="159" t="s">
        <v>1229</v>
      </c>
      <c r="G213" s="162">
        <v>43306</v>
      </c>
      <c r="H213" s="163">
        <f t="shared" si="2"/>
        <v>2018</v>
      </c>
      <c r="I213" s="159" t="s">
        <v>807</v>
      </c>
      <c r="J213" s="160">
        <v>96.94</v>
      </c>
      <c r="K213" s="160">
        <v>113.87</v>
      </c>
      <c r="L213" s="164">
        <v>12.19</v>
      </c>
      <c r="M213" s="165">
        <f t="shared" si="3"/>
        <v>7.952420016406891</v>
      </c>
      <c r="N213" s="166" t="s">
        <v>1230</v>
      </c>
      <c r="O213" s="159" t="s">
        <v>803</v>
      </c>
      <c r="P213" s="167" t="str">
        <f>HYPERLINK("https://my.pitchbook.com?c=109934-74T", "View company online")</f>
        <v>View company online</v>
      </c>
      <c r="Q213" s="156"/>
    </row>
    <row r="214" spans="2:17" x14ac:dyDescent="0.2">
      <c r="B214" s="159" t="s">
        <v>1231</v>
      </c>
      <c r="C214" s="159" t="s">
        <v>1232</v>
      </c>
      <c r="D214" s="160">
        <v>21.65</v>
      </c>
      <c r="E214" s="161" t="s">
        <v>799</v>
      </c>
      <c r="F214" s="159" t="s">
        <v>1233</v>
      </c>
      <c r="G214" s="162">
        <v>44581</v>
      </c>
      <c r="H214" s="163">
        <f t="shared" si="2"/>
        <v>2022</v>
      </c>
      <c r="I214" s="159" t="s">
        <v>807</v>
      </c>
      <c r="J214" s="160">
        <v>63.53</v>
      </c>
      <c r="K214" s="160">
        <v>78.319999999999993</v>
      </c>
      <c r="L214" s="164">
        <v>11.06</v>
      </c>
      <c r="M214" s="165">
        <f t="shared" si="3"/>
        <v>5.744122965641953</v>
      </c>
      <c r="N214" s="166" t="s">
        <v>1234</v>
      </c>
      <c r="O214" s="159" t="s">
        <v>803</v>
      </c>
      <c r="P214" s="167" t="str">
        <f>HYPERLINK("https://my.pitchbook.com?c=186903-01T", "View company online")</f>
        <v>View company online</v>
      </c>
      <c r="Q214" s="156"/>
    </row>
    <row r="215" spans="2:17" hidden="1" x14ac:dyDescent="0.2">
      <c r="B215" s="159" t="s">
        <v>1235</v>
      </c>
      <c r="C215" s="159" t="s">
        <v>1236</v>
      </c>
      <c r="D215" s="160">
        <v>22</v>
      </c>
      <c r="E215" s="161" t="s">
        <v>799</v>
      </c>
      <c r="F215" s="159" t="s">
        <v>1237</v>
      </c>
      <c r="G215" s="162">
        <v>43244</v>
      </c>
      <c r="H215" s="163">
        <f t="shared" si="2"/>
        <v>2018</v>
      </c>
      <c r="I215" s="159" t="s">
        <v>807</v>
      </c>
      <c r="J215" s="160">
        <v>125</v>
      </c>
      <c r="K215" s="160">
        <v>147</v>
      </c>
      <c r="L215" s="164">
        <v>8.6999999999999993</v>
      </c>
      <c r="M215" s="165">
        <f t="shared" si="3"/>
        <v>14.367816091954024</v>
      </c>
      <c r="N215" s="166" t="s">
        <v>1238</v>
      </c>
      <c r="O215" s="159" t="s">
        <v>932</v>
      </c>
      <c r="P215" s="167" t="str">
        <f>HYPERLINK("https://my.pitchbook.com?c=106209-91T", "View company online")</f>
        <v>View company online</v>
      </c>
      <c r="Q215" s="156"/>
    </row>
    <row r="216" spans="2:17" hidden="1" x14ac:dyDescent="0.2">
      <c r="B216" s="159" t="s">
        <v>1239</v>
      </c>
      <c r="C216" s="159" t="s">
        <v>1240</v>
      </c>
      <c r="D216" s="160">
        <v>22</v>
      </c>
      <c r="E216" s="161" t="s">
        <v>826</v>
      </c>
      <c r="F216" s="159" t="s">
        <v>1241</v>
      </c>
      <c r="G216" s="162">
        <v>43874</v>
      </c>
      <c r="H216" s="163">
        <f t="shared" si="2"/>
        <v>2020</v>
      </c>
      <c r="I216" s="159" t="s">
        <v>807</v>
      </c>
      <c r="J216" s="160">
        <v>250</v>
      </c>
      <c r="K216" s="160">
        <v>272</v>
      </c>
      <c r="L216" s="164">
        <v>100</v>
      </c>
      <c r="M216" s="165">
        <f t="shared" si="3"/>
        <v>2.5</v>
      </c>
      <c r="N216" s="166" t="s">
        <v>1242</v>
      </c>
      <c r="O216" s="159" t="s">
        <v>803</v>
      </c>
      <c r="P216" s="167" t="str">
        <f>HYPERLINK("https://my.pitchbook.com?c=131885-29T", "View company online")</f>
        <v>View company online</v>
      </c>
      <c r="Q216" s="156"/>
    </row>
    <row r="217" spans="2:17" hidden="1" x14ac:dyDescent="0.2">
      <c r="B217" s="159" t="s">
        <v>1243</v>
      </c>
      <c r="C217" s="159" t="s">
        <v>1244</v>
      </c>
      <c r="D217" s="160">
        <v>22.5</v>
      </c>
      <c r="E217" s="161" t="s">
        <v>979</v>
      </c>
      <c r="F217" s="159" t="s">
        <v>1245</v>
      </c>
      <c r="G217" s="162">
        <v>44292</v>
      </c>
      <c r="H217" s="163">
        <f t="shared" si="2"/>
        <v>2021</v>
      </c>
      <c r="I217" s="159" t="s">
        <v>807</v>
      </c>
      <c r="J217" s="160">
        <v>125</v>
      </c>
      <c r="K217" s="160">
        <v>140.62</v>
      </c>
      <c r="L217" s="164">
        <v>14.84</v>
      </c>
      <c r="M217" s="165">
        <f t="shared" si="3"/>
        <v>8.4231805929919137</v>
      </c>
      <c r="N217" s="166" t="s">
        <v>1246</v>
      </c>
      <c r="O217" s="159" t="s">
        <v>1002</v>
      </c>
      <c r="P217" s="167" t="str">
        <f>HYPERLINK("https://my.pitchbook.com?c=169985-35T", "View company online")</f>
        <v>View company online</v>
      </c>
      <c r="Q217" s="156"/>
    </row>
    <row r="218" spans="2:17" hidden="1" x14ac:dyDescent="0.2">
      <c r="B218" s="159" t="s">
        <v>1247</v>
      </c>
      <c r="C218" s="159" t="s">
        <v>1248</v>
      </c>
      <c r="D218" s="160">
        <v>22.5</v>
      </c>
      <c r="E218" s="161" t="s">
        <v>979</v>
      </c>
      <c r="F218" s="159" t="s">
        <v>1249</v>
      </c>
      <c r="G218" s="162">
        <v>43952</v>
      </c>
      <c r="H218" s="163">
        <f t="shared" si="2"/>
        <v>2020</v>
      </c>
      <c r="I218" s="159" t="s">
        <v>807</v>
      </c>
      <c r="J218" s="160">
        <v>300</v>
      </c>
      <c r="K218" s="160">
        <v>322.5</v>
      </c>
      <c r="L218" s="164">
        <v>75</v>
      </c>
      <c r="M218" s="165">
        <f t="shared" si="3"/>
        <v>4</v>
      </c>
      <c r="N218" s="166" t="s">
        <v>1250</v>
      </c>
      <c r="O218" s="159" t="s">
        <v>1251</v>
      </c>
      <c r="P218" s="167" t="str">
        <f>HYPERLINK("https://my.pitchbook.com?c=133506-37T", "View company online")</f>
        <v>View company online</v>
      </c>
      <c r="Q218" s="156"/>
    </row>
    <row r="219" spans="2:17" hidden="1" x14ac:dyDescent="0.2">
      <c r="B219" s="159" t="s">
        <v>1252</v>
      </c>
      <c r="C219" s="159" t="s">
        <v>1253</v>
      </c>
      <c r="D219" s="160">
        <v>22.67</v>
      </c>
      <c r="E219" s="161" t="s">
        <v>799</v>
      </c>
      <c r="F219" s="159" t="s">
        <v>1254</v>
      </c>
      <c r="G219" s="162">
        <v>43314</v>
      </c>
      <c r="H219" s="163">
        <f t="shared" si="2"/>
        <v>2018</v>
      </c>
      <c r="I219" s="159" t="s">
        <v>801</v>
      </c>
      <c r="J219" s="160">
        <v>144.82</v>
      </c>
      <c r="K219" s="160">
        <v>162.19</v>
      </c>
      <c r="L219" s="164">
        <v>6.65</v>
      </c>
      <c r="M219" s="165">
        <f t="shared" si="3"/>
        <v>21.777443609022555</v>
      </c>
      <c r="N219" s="166" t="s">
        <v>1255</v>
      </c>
      <c r="O219" s="159" t="s">
        <v>803</v>
      </c>
      <c r="P219" s="167" t="str">
        <f>HYPERLINK("https://my.pitchbook.com?c=109904-59T", "View company online")</f>
        <v>View company online</v>
      </c>
      <c r="Q219" s="156"/>
    </row>
    <row r="220" spans="2:17" hidden="1" x14ac:dyDescent="0.2">
      <c r="B220" s="159" t="s">
        <v>1256</v>
      </c>
      <c r="C220" s="159" t="s">
        <v>1257</v>
      </c>
      <c r="D220" s="160">
        <v>22.81</v>
      </c>
      <c r="E220" s="161" t="s">
        <v>835</v>
      </c>
      <c r="F220" s="159" t="s">
        <v>1258</v>
      </c>
      <c r="G220" s="162">
        <v>43760</v>
      </c>
      <c r="H220" s="163">
        <f t="shared" si="2"/>
        <v>2019</v>
      </c>
      <c r="I220" s="159" t="s">
        <v>807</v>
      </c>
      <c r="J220" s="160">
        <v>75.959999999999994</v>
      </c>
      <c r="K220" s="160">
        <v>98.77</v>
      </c>
      <c r="L220" s="164">
        <v>9.89</v>
      </c>
      <c r="M220" s="165">
        <f t="shared" si="3"/>
        <v>7.680485338725985</v>
      </c>
      <c r="N220" s="166" t="s">
        <v>1259</v>
      </c>
      <c r="O220" s="159" t="s">
        <v>910</v>
      </c>
      <c r="P220" s="167" t="str">
        <f>HYPERLINK("https://my.pitchbook.com?c=125123-41T", "View company online")</f>
        <v>View company online</v>
      </c>
      <c r="Q220" s="156"/>
    </row>
    <row r="221" spans="2:17" hidden="1" x14ac:dyDescent="0.2">
      <c r="B221" s="159" t="s">
        <v>849</v>
      </c>
      <c r="C221" s="159" t="s">
        <v>850</v>
      </c>
      <c r="D221" s="160">
        <v>22.84</v>
      </c>
      <c r="E221" s="161" t="s">
        <v>1052</v>
      </c>
      <c r="F221" s="159" t="s">
        <v>852</v>
      </c>
      <c r="G221" s="162">
        <v>43689</v>
      </c>
      <c r="H221" s="163">
        <f t="shared" si="2"/>
        <v>2019</v>
      </c>
      <c r="I221" s="159" t="s">
        <v>807</v>
      </c>
      <c r="J221" s="160">
        <v>977.16</v>
      </c>
      <c r="K221" s="160">
        <v>1000</v>
      </c>
      <c r="L221" s="164">
        <v>40.86</v>
      </c>
      <c r="M221" s="165">
        <f t="shared" si="3"/>
        <v>23.91483113069016</v>
      </c>
      <c r="N221" s="166" t="s">
        <v>853</v>
      </c>
      <c r="O221" s="159" t="s">
        <v>854</v>
      </c>
      <c r="P221" s="167" t="str">
        <f>HYPERLINK("https://my.pitchbook.com?c=125392-33T", "View company online")</f>
        <v>View company online</v>
      </c>
      <c r="Q221" s="156"/>
    </row>
    <row r="222" spans="2:17" hidden="1" x14ac:dyDescent="0.2">
      <c r="B222" s="159" t="s">
        <v>1260</v>
      </c>
      <c r="C222" s="159" t="s">
        <v>1261</v>
      </c>
      <c r="D222" s="160">
        <v>22.9</v>
      </c>
      <c r="E222" s="161" t="s">
        <v>816</v>
      </c>
      <c r="F222" s="159" t="s">
        <v>1262</v>
      </c>
      <c r="G222" s="162">
        <v>43648</v>
      </c>
      <c r="H222" s="163">
        <f t="shared" si="2"/>
        <v>2019</v>
      </c>
      <c r="I222" s="159" t="s">
        <v>807</v>
      </c>
      <c r="J222" s="160">
        <v>57.3</v>
      </c>
      <c r="K222" s="160">
        <v>80.2</v>
      </c>
      <c r="L222" s="164">
        <v>3.7</v>
      </c>
      <c r="M222" s="165">
        <f t="shared" si="3"/>
        <v>15.486486486486484</v>
      </c>
      <c r="N222" s="166" t="s">
        <v>1263</v>
      </c>
      <c r="O222" s="159" t="s">
        <v>803</v>
      </c>
      <c r="P222" s="167" t="str">
        <f>HYPERLINK("https://my.pitchbook.com?c=121483-18T", "View company online")</f>
        <v>View company online</v>
      </c>
      <c r="Q222" s="156"/>
    </row>
    <row r="223" spans="2:17" hidden="1" x14ac:dyDescent="0.2">
      <c r="B223" s="159" t="s">
        <v>1264</v>
      </c>
      <c r="C223" s="159" t="s">
        <v>1265</v>
      </c>
      <c r="D223" s="160">
        <v>22.93</v>
      </c>
      <c r="E223" s="161" t="s">
        <v>826</v>
      </c>
      <c r="F223" s="159" t="s">
        <v>1266</v>
      </c>
      <c r="G223" s="162">
        <v>44354</v>
      </c>
      <c r="H223" s="163">
        <f t="shared" si="2"/>
        <v>2021</v>
      </c>
      <c r="I223" s="159" t="s">
        <v>807</v>
      </c>
      <c r="J223" s="160">
        <v>267.7</v>
      </c>
      <c r="K223" s="160">
        <v>290.63</v>
      </c>
      <c r="L223" s="164">
        <v>27.2</v>
      </c>
      <c r="M223" s="165">
        <f t="shared" si="3"/>
        <v>9.8419117647058822</v>
      </c>
      <c r="N223" s="166" t="s">
        <v>1267</v>
      </c>
      <c r="O223" s="159" t="s">
        <v>966</v>
      </c>
      <c r="P223" s="167" t="str">
        <f>HYPERLINK("https://my.pitchbook.com?c=137595-61T", "View company online")</f>
        <v>View company online</v>
      </c>
      <c r="Q223" s="156"/>
    </row>
    <row r="224" spans="2:17" hidden="1" x14ac:dyDescent="0.2">
      <c r="B224" s="159" t="s">
        <v>1268</v>
      </c>
      <c r="C224" s="159" t="s">
        <v>1269</v>
      </c>
      <c r="D224" s="160">
        <v>23</v>
      </c>
      <c r="E224" s="161" t="s">
        <v>835</v>
      </c>
      <c r="F224" s="159" t="s">
        <v>1270</v>
      </c>
      <c r="G224" s="162">
        <v>43654</v>
      </c>
      <c r="H224" s="163">
        <f t="shared" si="2"/>
        <v>2019</v>
      </c>
      <c r="I224" s="159" t="s">
        <v>807</v>
      </c>
      <c r="J224" s="160">
        <v>100.65</v>
      </c>
      <c r="K224" s="160">
        <v>123.65</v>
      </c>
      <c r="L224" s="164">
        <v>11.51</v>
      </c>
      <c r="M224" s="165">
        <f t="shared" si="3"/>
        <v>8.7445699391833198</v>
      </c>
      <c r="N224" s="166" t="s">
        <v>1271</v>
      </c>
      <c r="O224" s="159" t="s">
        <v>803</v>
      </c>
      <c r="P224" s="167" t="str">
        <f>HYPERLINK("https://my.pitchbook.com?c=120603-61T", "View company online")</f>
        <v>View company online</v>
      </c>
      <c r="Q224" s="156"/>
    </row>
    <row r="225" spans="2:17" hidden="1" x14ac:dyDescent="0.2">
      <c r="B225" s="159" t="s">
        <v>1272</v>
      </c>
      <c r="C225" s="159" t="s">
        <v>1273</v>
      </c>
      <c r="D225" s="160">
        <v>23</v>
      </c>
      <c r="E225" s="161" t="s">
        <v>799</v>
      </c>
      <c r="F225" s="159" t="s">
        <v>1274</v>
      </c>
      <c r="G225" s="162">
        <v>43937</v>
      </c>
      <c r="H225" s="163">
        <f t="shared" si="2"/>
        <v>2020</v>
      </c>
      <c r="I225" s="159" t="s">
        <v>807</v>
      </c>
      <c r="J225" s="160">
        <v>35</v>
      </c>
      <c r="K225" s="160">
        <v>58</v>
      </c>
      <c r="L225" s="164">
        <v>5.9</v>
      </c>
      <c r="M225" s="165">
        <f t="shared" si="3"/>
        <v>5.9322033898305078</v>
      </c>
      <c r="N225" s="166" t="s">
        <v>1275</v>
      </c>
      <c r="O225" s="159" t="s">
        <v>803</v>
      </c>
      <c r="P225" s="167" t="str">
        <f>HYPERLINK("https://my.pitchbook.com?c=135157-69T", "View company online")</f>
        <v>View company online</v>
      </c>
      <c r="Q225" s="156"/>
    </row>
    <row r="226" spans="2:17" hidden="1" x14ac:dyDescent="0.2">
      <c r="B226" s="159" t="s">
        <v>1276</v>
      </c>
      <c r="C226" s="159" t="s">
        <v>1277</v>
      </c>
      <c r="D226" s="160">
        <v>23.12</v>
      </c>
      <c r="E226" s="161" t="s">
        <v>1074</v>
      </c>
      <c r="F226" s="159" t="s">
        <v>1278</v>
      </c>
      <c r="G226" s="162">
        <v>44225</v>
      </c>
      <c r="H226" s="163">
        <f t="shared" si="2"/>
        <v>2021</v>
      </c>
      <c r="I226" s="159" t="s">
        <v>807</v>
      </c>
      <c r="J226" s="160">
        <v>115.61</v>
      </c>
      <c r="K226" s="160">
        <v>138.72999999999999</v>
      </c>
      <c r="L226" s="164">
        <v>14.47</v>
      </c>
      <c r="M226" s="165">
        <f t="shared" si="3"/>
        <v>7.9896337249481686</v>
      </c>
      <c r="N226" s="166" t="s">
        <v>1279</v>
      </c>
      <c r="O226" s="159" t="s">
        <v>803</v>
      </c>
      <c r="P226" s="167" t="str">
        <f>HYPERLINK("https://my.pitchbook.com?c=166085-02T", "View company online")</f>
        <v>View company online</v>
      </c>
      <c r="Q226" s="156"/>
    </row>
    <row r="227" spans="2:17" hidden="1" x14ac:dyDescent="0.2">
      <c r="B227" s="159" t="s">
        <v>1068</v>
      </c>
      <c r="C227" s="159" t="s">
        <v>1069</v>
      </c>
      <c r="D227" s="160">
        <v>23.39</v>
      </c>
      <c r="E227" s="161" t="s">
        <v>452</v>
      </c>
      <c r="F227" s="159" t="s">
        <v>1070</v>
      </c>
      <c r="G227" s="162">
        <v>43964</v>
      </c>
      <c r="H227" s="163">
        <f t="shared" si="2"/>
        <v>2020</v>
      </c>
      <c r="I227" s="159" t="s">
        <v>801</v>
      </c>
      <c r="J227" s="160">
        <v>104.12</v>
      </c>
      <c r="K227" s="160">
        <v>127.51</v>
      </c>
      <c r="L227" s="164">
        <v>8.01</v>
      </c>
      <c r="M227" s="165">
        <f t="shared" si="3"/>
        <v>12.998751560549314</v>
      </c>
      <c r="N227" s="166" t="s">
        <v>1280</v>
      </c>
      <c r="O227" s="159" t="s">
        <v>838</v>
      </c>
      <c r="P227" s="167" t="str">
        <f>HYPERLINK("https://my.pitchbook.com?c=136399-78T", "View company online")</f>
        <v>View company online</v>
      </c>
      <c r="Q227" s="156"/>
    </row>
    <row r="228" spans="2:17" hidden="1" x14ac:dyDescent="0.2">
      <c r="B228" s="159" t="s">
        <v>1281</v>
      </c>
      <c r="C228" s="159" t="s">
        <v>1282</v>
      </c>
      <c r="D228" s="160">
        <v>23.77</v>
      </c>
      <c r="E228" s="161" t="s">
        <v>799</v>
      </c>
      <c r="F228" s="159" t="s">
        <v>1283</v>
      </c>
      <c r="G228" s="162">
        <v>44183</v>
      </c>
      <c r="H228" s="163">
        <f t="shared" si="2"/>
        <v>2020</v>
      </c>
      <c r="I228" s="159" t="s">
        <v>807</v>
      </c>
      <c r="J228" s="160">
        <v>89.05</v>
      </c>
      <c r="K228" s="160">
        <v>112.82</v>
      </c>
      <c r="L228" s="164">
        <v>18.989999999999998</v>
      </c>
      <c r="M228" s="165">
        <f t="shared" si="3"/>
        <v>4.689310163243813</v>
      </c>
      <c r="N228" s="166" t="s">
        <v>1284</v>
      </c>
      <c r="O228" s="159" t="s">
        <v>1285</v>
      </c>
      <c r="P228" s="167" t="str">
        <f>HYPERLINK("https://my.pitchbook.com?c=167975-38T", "View company online")</f>
        <v>View company online</v>
      </c>
      <c r="Q228" s="156"/>
    </row>
    <row r="229" spans="2:17" hidden="1" x14ac:dyDescent="0.2">
      <c r="B229" s="159" t="s">
        <v>1286</v>
      </c>
      <c r="C229" s="159" t="s">
        <v>1287</v>
      </c>
      <c r="D229" s="160">
        <v>23.77</v>
      </c>
      <c r="E229" s="161" t="s">
        <v>452</v>
      </c>
      <c r="F229" s="159" t="s">
        <v>1288</v>
      </c>
      <c r="G229" s="162">
        <v>44350</v>
      </c>
      <c r="H229" s="163">
        <f t="shared" si="2"/>
        <v>2021</v>
      </c>
      <c r="I229" s="159" t="s">
        <v>807</v>
      </c>
      <c r="J229" s="160">
        <v>11.97</v>
      </c>
      <c r="K229" s="160">
        <v>35.74</v>
      </c>
      <c r="L229" s="164">
        <v>3.82</v>
      </c>
      <c r="M229" s="165">
        <f t="shared" si="3"/>
        <v>3.1335078534031418</v>
      </c>
      <c r="N229" s="166" t="s">
        <v>1289</v>
      </c>
      <c r="O229" s="159" t="s">
        <v>1290</v>
      </c>
      <c r="P229" s="167" t="str">
        <f>HYPERLINK("https://my.pitchbook.com?c=173432-71T", "View company online")</f>
        <v>View company online</v>
      </c>
      <c r="Q229" s="156"/>
    </row>
    <row r="230" spans="2:17" hidden="1" x14ac:dyDescent="0.2">
      <c r="B230" s="159" t="s">
        <v>1291</v>
      </c>
      <c r="C230" s="159" t="s">
        <v>1292</v>
      </c>
      <c r="D230" s="160">
        <v>23.78</v>
      </c>
      <c r="E230" s="161" t="s">
        <v>452</v>
      </c>
      <c r="F230" s="159" t="s">
        <v>1293</v>
      </c>
      <c r="G230" s="162">
        <v>43411</v>
      </c>
      <c r="H230" s="163">
        <f t="shared" si="2"/>
        <v>2018</v>
      </c>
      <c r="I230" s="159" t="s">
        <v>801</v>
      </c>
      <c r="J230" s="160">
        <v>23.9</v>
      </c>
      <c r="K230" s="160">
        <v>47.68</v>
      </c>
      <c r="L230" s="164">
        <v>7.29</v>
      </c>
      <c r="M230" s="165">
        <f t="shared" si="3"/>
        <v>3.2784636488340189</v>
      </c>
      <c r="N230" s="166" t="s">
        <v>1294</v>
      </c>
      <c r="O230" s="159" t="s">
        <v>838</v>
      </c>
      <c r="P230" s="167" t="str">
        <f>HYPERLINK("https://my.pitchbook.com?c=113619-88T", "View company online")</f>
        <v>View company online</v>
      </c>
      <c r="Q230" s="156"/>
    </row>
    <row r="231" spans="2:17" hidden="1" x14ac:dyDescent="0.2">
      <c r="B231" s="159" t="s">
        <v>933</v>
      </c>
      <c r="C231" s="159" t="s">
        <v>934</v>
      </c>
      <c r="D231" s="160">
        <v>23.82</v>
      </c>
      <c r="E231" s="161" t="s">
        <v>452</v>
      </c>
      <c r="F231" s="159" t="s">
        <v>935</v>
      </c>
      <c r="G231" s="162">
        <v>43437</v>
      </c>
      <c r="H231" s="163">
        <f t="shared" si="2"/>
        <v>2018</v>
      </c>
      <c r="I231" s="159" t="s">
        <v>807</v>
      </c>
      <c r="J231" s="160">
        <v>157.76</v>
      </c>
      <c r="K231" s="160">
        <v>175.4</v>
      </c>
      <c r="L231" s="164">
        <v>14.44</v>
      </c>
      <c r="M231" s="165">
        <f t="shared" si="3"/>
        <v>10.925207756232687</v>
      </c>
      <c r="N231" s="166" t="s">
        <v>1295</v>
      </c>
      <c r="O231" s="159" t="s">
        <v>803</v>
      </c>
      <c r="P231" s="167" t="str">
        <f>HYPERLINK("https://my.pitchbook.com?c=104736-07T", "View company online")</f>
        <v>View company online</v>
      </c>
      <c r="Q231" s="156"/>
    </row>
    <row r="232" spans="2:17" hidden="1" x14ac:dyDescent="0.2">
      <c r="B232" s="159" t="s">
        <v>1296</v>
      </c>
      <c r="C232" s="159" t="s">
        <v>1297</v>
      </c>
      <c r="D232" s="160">
        <v>24</v>
      </c>
      <c r="E232" s="161" t="s">
        <v>799</v>
      </c>
      <c r="F232" s="159" t="s">
        <v>1298</v>
      </c>
      <c r="G232" s="162">
        <v>43567</v>
      </c>
      <c r="H232" s="163">
        <f t="shared" si="2"/>
        <v>2019</v>
      </c>
      <c r="I232" s="159" t="s">
        <v>807</v>
      </c>
      <c r="J232" s="160">
        <v>81.61</v>
      </c>
      <c r="K232" s="160">
        <v>105.61</v>
      </c>
      <c r="L232" s="164">
        <v>10.14</v>
      </c>
      <c r="M232" s="165">
        <f t="shared" si="3"/>
        <v>8.0483234714003942</v>
      </c>
      <c r="N232" s="166" t="s">
        <v>1299</v>
      </c>
      <c r="O232" s="159" t="s">
        <v>803</v>
      </c>
      <c r="P232" s="167" t="str">
        <f>HYPERLINK("https://my.pitchbook.com?c=118106-29T", "View company online")</f>
        <v>View company online</v>
      </c>
      <c r="Q232" s="156"/>
    </row>
    <row r="233" spans="2:17" hidden="1" x14ac:dyDescent="0.2">
      <c r="B233" s="159" t="s">
        <v>1300</v>
      </c>
      <c r="C233" s="159" t="s">
        <v>1301</v>
      </c>
      <c r="D233" s="160">
        <v>24.2</v>
      </c>
      <c r="E233" s="161" t="s">
        <v>826</v>
      </c>
      <c r="F233" s="159" t="s">
        <v>1302</v>
      </c>
      <c r="G233" s="162">
        <v>43124</v>
      </c>
      <c r="H233" s="163">
        <f t="shared" si="2"/>
        <v>2018</v>
      </c>
      <c r="I233" s="159" t="s">
        <v>807</v>
      </c>
      <c r="J233" s="160">
        <v>228.96</v>
      </c>
      <c r="K233" s="160">
        <v>253.16</v>
      </c>
      <c r="L233" s="164">
        <v>13.34</v>
      </c>
      <c r="M233" s="165">
        <f t="shared" si="3"/>
        <v>17.163418290854572</v>
      </c>
      <c r="N233" s="166" t="s">
        <v>1303</v>
      </c>
      <c r="O233" s="159" t="s">
        <v>803</v>
      </c>
      <c r="P233" s="167" t="str">
        <f>HYPERLINK("https://my.pitchbook.com?c=100546-48T", "View company online")</f>
        <v>View company online</v>
      </c>
      <c r="Q233" s="156"/>
    </row>
    <row r="234" spans="2:17" hidden="1" x14ac:dyDescent="0.2">
      <c r="B234" s="159" t="s">
        <v>1304</v>
      </c>
      <c r="C234" s="159" t="s">
        <v>1305</v>
      </c>
      <c r="D234" s="160">
        <v>24.23</v>
      </c>
      <c r="E234" s="161" t="s">
        <v>1200</v>
      </c>
      <c r="F234" s="159" t="s">
        <v>1306</v>
      </c>
      <c r="G234" s="162">
        <v>43822</v>
      </c>
      <c r="H234" s="163">
        <f t="shared" si="2"/>
        <v>2019</v>
      </c>
      <c r="I234" s="159" t="s">
        <v>807</v>
      </c>
      <c r="J234" s="160">
        <v>120</v>
      </c>
      <c r="K234" s="160">
        <v>144.22999999999999</v>
      </c>
      <c r="L234" s="164">
        <v>3.1</v>
      </c>
      <c r="M234" s="165">
        <f t="shared" si="3"/>
        <v>38.70967741935484</v>
      </c>
      <c r="N234" s="166" t="s">
        <v>1307</v>
      </c>
      <c r="O234" s="159" t="s">
        <v>803</v>
      </c>
      <c r="P234" s="167" t="str">
        <f>HYPERLINK("https://my.pitchbook.com?c=128662-12T", "View company online")</f>
        <v>View company online</v>
      </c>
      <c r="Q234" s="156"/>
    </row>
    <row r="235" spans="2:17" hidden="1" x14ac:dyDescent="0.2">
      <c r="B235" s="159" t="s">
        <v>1308</v>
      </c>
      <c r="C235" s="159" t="s">
        <v>1309</v>
      </c>
      <c r="D235" s="160">
        <v>24.5</v>
      </c>
      <c r="E235" s="161" t="s">
        <v>816</v>
      </c>
      <c r="F235" s="159" t="s">
        <v>1310</v>
      </c>
      <c r="G235" s="162">
        <v>43465</v>
      </c>
      <c r="H235" s="163">
        <f t="shared" si="2"/>
        <v>2018</v>
      </c>
      <c r="I235" s="159" t="s">
        <v>801</v>
      </c>
      <c r="J235" s="160">
        <v>106</v>
      </c>
      <c r="K235" s="160">
        <v>130.5</v>
      </c>
      <c r="L235" s="164">
        <v>2.27</v>
      </c>
      <c r="M235" s="165">
        <f t="shared" si="3"/>
        <v>46.696035242290748</v>
      </c>
      <c r="N235" s="166" t="s">
        <v>1311</v>
      </c>
      <c r="O235" s="159" t="s">
        <v>1002</v>
      </c>
      <c r="P235" s="167" t="str">
        <f>HYPERLINK("https://my.pitchbook.com?c=112112-11T", "View company online")</f>
        <v>View company online</v>
      </c>
      <c r="Q235" s="156"/>
    </row>
    <row r="236" spans="2:17" hidden="1" x14ac:dyDescent="0.2">
      <c r="B236" s="159" t="s">
        <v>1312</v>
      </c>
      <c r="C236" s="159" t="s">
        <v>1313</v>
      </c>
      <c r="D236" s="160">
        <v>24.65</v>
      </c>
      <c r="E236" s="161" t="s">
        <v>799</v>
      </c>
      <c r="F236" s="159" t="s">
        <v>1314</v>
      </c>
      <c r="G236" s="162">
        <v>43228</v>
      </c>
      <c r="H236" s="163">
        <f t="shared" si="2"/>
        <v>2018</v>
      </c>
      <c r="I236" s="159" t="s">
        <v>807</v>
      </c>
      <c r="J236" s="160">
        <v>48.29</v>
      </c>
      <c r="K236" s="160">
        <v>63.84</v>
      </c>
      <c r="L236" s="164">
        <v>7.06</v>
      </c>
      <c r="M236" s="165">
        <f t="shared" si="3"/>
        <v>6.8399433427762046</v>
      </c>
      <c r="N236" s="166" t="s">
        <v>1315</v>
      </c>
      <c r="O236" s="159" t="s">
        <v>803</v>
      </c>
      <c r="P236" s="167" t="str">
        <f>HYPERLINK("https://my.pitchbook.com?c=99817-93T", "View company online")</f>
        <v>View company online</v>
      </c>
      <c r="Q236" s="156"/>
    </row>
    <row r="237" spans="2:17" hidden="1" x14ac:dyDescent="0.2">
      <c r="B237" s="159" t="s">
        <v>1316</v>
      </c>
      <c r="C237" s="159" t="s">
        <v>1317</v>
      </c>
      <c r="D237" s="160">
        <v>24.79</v>
      </c>
      <c r="E237" s="161" t="s">
        <v>1318</v>
      </c>
      <c r="F237" s="159" t="s">
        <v>1319</v>
      </c>
      <c r="G237" s="162">
        <v>44581</v>
      </c>
      <c r="H237" s="163">
        <f t="shared" si="2"/>
        <v>2022</v>
      </c>
      <c r="I237" s="159" t="s">
        <v>807</v>
      </c>
      <c r="J237" s="160">
        <v>49</v>
      </c>
      <c r="K237" s="160">
        <v>73.790000000000006</v>
      </c>
      <c r="L237" s="164">
        <v>2</v>
      </c>
      <c r="M237" s="165">
        <f t="shared" si="3"/>
        <v>24.5</v>
      </c>
      <c r="N237" s="166" t="s">
        <v>1320</v>
      </c>
      <c r="O237" s="159" t="s">
        <v>803</v>
      </c>
      <c r="P237" s="167" t="str">
        <f>HYPERLINK("https://my.pitchbook.com?c=186957-01T", "View company online")</f>
        <v>View company online</v>
      </c>
      <c r="Q237" s="156"/>
    </row>
    <row r="238" spans="2:17" hidden="1" x14ac:dyDescent="0.2">
      <c r="B238" s="159" t="s">
        <v>1321</v>
      </c>
      <c r="C238" s="159" t="s">
        <v>1322</v>
      </c>
      <c r="D238" s="160">
        <v>24.96</v>
      </c>
      <c r="E238" s="161" t="s">
        <v>835</v>
      </c>
      <c r="F238" s="159" t="s">
        <v>1323</v>
      </c>
      <c r="G238" s="162">
        <v>43739</v>
      </c>
      <c r="H238" s="163">
        <f t="shared" si="2"/>
        <v>2019</v>
      </c>
      <c r="I238" s="159" t="s">
        <v>807</v>
      </c>
      <c r="J238" s="160">
        <v>472.97</v>
      </c>
      <c r="K238" s="160">
        <v>497.93</v>
      </c>
      <c r="L238" s="164">
        <v>40</v>
      </c>
      <c r="M238" s="165">
        <f t="shared" si="3"/>
        <v>11.824250000000001</v>
      </c>
      <c r="N238" s="166" t="s">
        <v>1324</v>
      </c>
      <c r="O238" s="159" t="s">
        <v>971</v>
      </c>
      <c r="P238" s="167" t="str">
        <f>HYPERLINK("https://my.pitchbook.com?c=123424-75T", "View company online")</f>
        <v>View company online</v>
      </c>
      <c r="Q238" s="156"/>
    </row>
    <row r="239" spans="2:17" hidden="1" x14ac:dyDescent="0.2">
      <c r="B239" s="159" t="s">
        <v>1325</v>
      </c>
      <c r="C239" s="159" t="s">
        <v>1326</v>
      </c>
      <c r="D239" s="160">
        <v>25</v>
      </c>
      <c r="E239" s="161" t="s">
        <v>452</v>
      </c>
      <c r="F239" s="159" t="s">
        <v>1327</v>
      </c>
      <c r="G239" s="162">
        <v>43641</v>
      </c>
      <c r="H239" s="163">
        <f t="shared" si="2"/>
        <v>2019</v>
      </c>
      <c r="I239" s="159" t="s">
        <v>807</v>
      </c>
      <c r="J239" s="160">
        <v>320</v>
      </c>
      <c r="K239" s="160">
        <v>225</v>
      </c>
      <c r="L239" s="164">
        <v>4</v>
      </c>
      <c r="M239" s="165">
        <f t="shared" si="3"/>
        <v>80</v>
      </c>
      <c r="N239" s="166" t="s">
        <v>1328</v>
      </c>
      <c r="O239" s="159" t="s">
        <v>803</v>
      </c>
      <c r="P239" s="167" t="str">
        <f>HYPERLINK("https://my.pitchbook.com?c=120525-94T", "View company online")</f>
        <v>View company online</v>
      </c>
      <c r="Q239" s="156"/>
    </row>
    <row r="240" spans="2:17" hidden="1" x14ac:dyDescent="0.2">
      <c r="B240" s="159" t="s">
        <v>1329</v>
      </c>
      <c r="C240" s="159" t="s">
        <v>1330</v>
      </c>
      <c r="D240" s="160">
        <v>25</v>
      </c>
      <c r="E240" s="161" t="s">
        <v>826</v>
      </c>
      <c r="F240" s="159" t="s">
        <v>1331</v>
      </c>
      <c r="G240" s="162">
        <v>43417</v>
      </c>
      <c r="H240" s="163">
        <f t="shared" si="2"/>
        <v>2018</v>
      </c>
      <c r="I240" s="159" t="s">
        <v>807</v>
      </c>
      <c r="J240" s="160">
        <v>90</v>
      </c>
      <c r="K240" s="160">
        <v>115</v>
      </c>
      <c r="L240" s="164">
        <v>11.1</v>
      </c>
      <c r="M240" s="165">
        <f t="shared" si="3"/>
        <v>8.1081081081081088</v>
      </c>
      <c r="N240" s="166" t="s">
        <v>1332</v>
      </c>
      <c r="O240" s="159" t="s">
        <v>823</v>
      </c>
      <c r="P240" s="167" t="str">
        <f>HYPERLINK("https://my.pitchbook.com?c=111475-63T", "View company online")</f>
        <v>View company online</v>
      </c>
      <c r="Q240" s="156"/>
    </row>
    <row r="241" spans="2:17" hidden="1" x14ac:dyDescent="0.2">
      <c r="B241" s="159" t="s">
        <v>1333</v>
      </c>
      <c r="C241" s="159" t="s">
        <v>1334</v>
      </c>
      <c r="D241" s="160">
        <v>25</v>
      </c>
      <c r="E241" s="161" t="s">
        <v>816</v>
      </c>
      <c r="F241" s="159" t="s">
        <v>1335</v>
      </c>
      <c r="G241" s="162">
        <v>44581</v>
      </c>
      <c r="H241" s="163">
        <f t="shared" ref="H241:H304" si="4">YEAR(G241)</f>
        <v>2022</v>
      </c>
      <c r="I241" s="159" t="s">
        <v>807</v>
      </c>
      <c r="J241" s="160">
        <v>100</v>
      </c>
      <c r="K241" s="160">
        <v>125</v>
      </c>
      <c r="L241" s="164">
        <v>3.5</v>
      </c>
      <c r="M241" s="165">
        <f t="shared" ref="M241:M304" si="5">IFERROR(J241/L241," ")</f>
        <v>28.571428571428573</v>
      </c>
      <c r="N241" s="166" t="s">
        <v>1336</v>
      </c>
      <c r="O241" s="159" t="s">
        <v>803</v>
      </c>
      <c r="P241" s="167" t="str">
        <f>HYPERLINK("https://my.pitchbook.com?c=188149-24T", "View company online")</f>
        <v>View company online</v>
      </c>
      <c r="Q241" s="156"/>
    </row>
    <row r="242" spans="2:17" hidden="1" x14ac:dyDescent="0.2">
      <c r="B242" s="159" t="s">
        <v>1337</v>
      </c>
      <c r="C242" s="159" t="s">
        <v>1338</v>
      </c>
      <c r="D242" s="160">
        <v>25</v>
      </c>
      <c r="E242" s="161" t="s">
        <v>826</v>
      </c>
      <c r="F242" s="159" t="s">
        <v>1339</v>
      </c>
      <c r="G242" s="162">
        <v>43905</v>
      </c>
      <c r="H242" s="163">
        <f t="shared" si="4"/>
        <v>2020</v>
      </c>
      <c r="I242" s="159" t="s">
        <v>807</v>
      </c>
      <c r="J242" s="160">
        <v>120</v>
      </c>
      <c r="K242" s="160">
        <v>145</v>
      </c>
      <c r="L242" s="164">
        <v>25</v>
      </c>
      <c r="M242" s="165">
        <f t="shared" si="5"/>
        <v>4.8</v>
      </c>
      <c r="N242" s="166" t="s">
        <v>1340</v>
      </c>
      <c r="O242" s="159" t="s">
        <v>809</v>
      </c>
      <c r="P242" s="167" t="str">
        <f>HYPERLINK("https://my.pitchbook.com?c=133268-50T", "View company online")</f>
        <v>View company online</v>
      </c>
      <c r="Q242" s="156"/>
    </row>
    <row r="243" spans="2:17" hidden="1" x14ac:dyDescent="0.2">
      <c r="B243" s="159" t="s">
        <v>1341</v>
      </c>
      <c r="C243" s="159" t="s">
        <v>1342</v>
      </c>
      <c r="D243" s="160">
        <v>25</v>
      </c>
      <c r="E243" s="161" t="s">
        <v>799</v>
      </c>
      <c r="F243" s="159" t="s">
        <v>1343</v>
      </c>
      <c r="G243" s="162">
        <v>43740</v>
      </c>
      <c r="H243" s="163">
        <f t="shared" si="4"/>
        <v>2019</v>
      </c>
      <c r="I243" s="159" t="s">
        <v>807</v>
      </c>
      <c r="J243" s="160">
        <v>38.28</v>
      </c>
      <c r="K243" s="160">
        <v>56.15</v>
      </c>
      <c r="L243" s="164">
        <v>21.99</v>
      </c>
      <c r="M243" s="165">
        <f t="shared" si="5"/>
        <v>1.7407912687585267</v>
      </c>
      <c r="N243" s="166" t="s">
        <v>1344</v>
      </c>
      <c r="O243" s="159" t="s">
        <v>803</v>
      </c>
      <c r="P243" s="167" t="str">
        <f>HYPERLINK("https://my.pitchbook.com?c=112493-26T", "View company online")</f>
        <v>View company online</v>
      </c>
      <c r="Q243" s="156"/>
    </row>
    <row r="244" spans="2:17" hidden="1" x14ac:dyDescent="0.2">
      <c r="B244" s="159" t="s">
        <v>1345</v>
      </c>
      <c r="C244" s="159" t="s">
        <v>1346</v>
      </c>
      <c r="D244" s="160">
        <v>25</v>
      </c>
      <c r="E244" s="161" t="s">
        <v>799</v>
      </c>
      <c r="F244" s="159" t="s">
        <v>1347</v>
      </c>
      <c r="G244" s="162">
        <v>43109</v>
      </c>
      <c r="H244" s="163">
        <f t="shared" si="4"/>
        <v>2018</v>
      </c>
      <c r="I244" s="159" t="s">
        <v>801</v>
      </c>
      <c r="J244" s="160">
        <v>125</v>
      </c>
      <c r="K244" s="160">
        <v>150</v>
      </c>
      <c r="L244" s="164">
        <v>3</v>
      </c>
      <c r="M244" s="165">
        <f t="shared" si="5"/>
        <v>41.666666666666664</v>
      </c>
      <c r="N244" s="166" t="s">
        <v>1348</v>
      </c>
      <c r="O244" s="159" t="s">
        <v>1349</v>
      </c>
      <c r="P244" s="167" t="str">
        <f>HYPERLINK("https://my.pitchbook.com?c=103897-36T", "View company online")</f>
        <v>View company online</v>
      </c>
      <c r="Q244" s="156"/>
    </row>
    <row r="245" spans="2:17" hidden="1" x14ac:dyDescent="0.2">
      <c r="B245" s="159" t="s">
        <v>962</v>
      </c>
      <c r="C245" s="159" t="s">
        <v>963</v>
      </c>
      <c r="D245" s="160">
        <v>25</v>
      </c>
      <c r="E245" s="161" t="s">
        <v>835</v>
      </c>
      <c r="F245" s="159" t="s">
        <v>964</v>
      </c>
      <c r="G245" s="162">
        <v>43468</v>
      </c>
      <c r="H245" s="163">
        <f t="shared" si="4"/>
        <v>2019</v>
      </c>
      <c r="I245" s="159" t="s">
        <v>807</v>
      </c>
      <c r="J245" s="160">
        <v>95</v>
      </c>
      <c r="K245" s="160">
        <v>120</v>
      </c>
      <c r="L245" s="164">
        <v>4.9000000000000004</v>
      </c>
      <c r="M245" s="165">
        <f t="shared" si="5"/>
        <v>19.387755102040813</v>
      </c>
      <c r="N245" s="166" t="s">
        <v>1350</v>
      </c>
      <c r="O245" s="159" t="s">
        <v>966</v>
      </c>
      <c r="P245" s="167" t="str">
        <f>HYPERLINK("https://my.pitchbook.com?c=115138-99T", "View company online")</f>
        <v>View company online</v>
      </c>
      <c r="Q245" s="156"/>
    </row>
    <row r="246" spans="2:17" hidden="1" x14ac:dyDescent="0.2">
      <c r="B246" s="159" t="s">
        <v>1351</v>
      </c>
      <c r="C246" s="159" t="s">
        <v>1352</v>
      </c>
      <c r="D246" s="160">
        <v>25</v>
      </c>
      <c r="E246" s="161" t="s">
        <v>826</v>
      </c>
      <c r="F246" s="159" t="s">
        <v>1353</v>
      </c>
      <c r="G246" s="162">
        <v>44508</v>
      </c>
      <c r="H246" s="163">
        <f t="shared" si="4"/>
        <v>2021</v>
      </c>
      <c r="I246" s="159" t="s">
        <v>807</v>
      </c>
      <c r="J246" s="160">
        <v>205</v>
      </c>
      <c r="K246" s="160">
        <v>230</v>
      </c>
      <c r="L246" s="164">
        <v>12.9</v>
      </c>
      <c r="M246" s="165">
        <f t="shared" si="5"/>
        <v>15.891472868217054</v>
      </c>
      <c r="N246" s="166" t="s">
        <v>1354</v>
      </c>
      <c r="O246" s="159" t="s">
        <v>1033</v>
      </c>
      <c r="P246" s="167" t="str">
        <f>HYPERLINK("https://my.pitchbook.com?c=184019-14T", "View company online")</f>
        <v>View company online</v>
      </c>
      <c r="Q246" s="156"/>
    </row>
    <row r="247" spans="2:17" hidden="1" x14ac:dyDescent="0.2">
      <c r="B247" s="159" t="s">
        <v>1355</v>
      </c>
      <c r="C247" s="159" t="s">
        <v>1356</v>
      </c>
      <c r="D247" s="160">
        <v>25.11</v>
      </c>
      <c r="E247" s="161" t="s">
        <v>799</v>
      </c>
      <c r="F247" s="159" t="s">
        <v>1357</v>
      </c>
      <c r="G247" s="162">
        <v>44530</v>
      </c>
      <c r="H247" s="163">
        <f t="shared" si="4"/>
        <v>2021</v>
      </c>
      <c r="I247" s="159" t="s">
        <v>801</v>
      </c>
      <c r="J247" s="160">
        <v>106.02</v>
      </c>
      <c r="K247" s="160">
        <v>131.12</v>
      </c>
      <c r="L247" s="164">
        <v>9</v>
      </c>
      <c r="M247" s="165">
        <f t="shared" si="5"/>
        <v>11.78</v>
      </c>
      <c r="N247" s="166" t="s">
        <v>1358</v>
      </c>
      <c r="O247" s="159" t="s">
        <v>803</v>
      </c>
      <c r="P247" s="167" t="str">
        <f>HYPERLINK("https://my.pitchbook.com?c=184281-76T", "View company online")</f>
        <v>View company online</v>
      </c>
      <c r="Q247" s="156"/>
    </row>
    <row r="248" spans="2:17" hidden="1" x14ac:dyDescent="0.2">
      <c r="B248" s="159" t="s">
        <v>1359</v>
      </c>
      <c r="C248" s="159" t="s">
        <v>1360</v>
      </c>
      <c r="D248" s="160">
        <v>25.87</v>
      </c>
      <c r="E248" s="161" t="s">
        <v>816</v>
      </c>
      <c r="F248" s="159" t="s">
        <v>1361</v>
      </c>
      <c r="G248" s="162">
        <v>43529</v>
      </c>
      <c r="H248" s="163">
        <f t="shared" si="4"/>
        <v>2019</v>
      </c>
      <c r="I248" s="159" t="s">
        <v>807</v>
      </c>
      <c r="J248" s="160">
        <v>50</v>
      </c>
      <c r="K248" s="160">
        <v>75.87</v>
      </c>
      <c r="L248" s="164">
        <v>3.1</v>
      </c>
      <c r="M248" s="165">
        <f t="shared" si="5"/>
        <v>16.129032258064516</v>
      </c>
      <c r="N248" s="166" t="s">
        <v>1362</v>
      </c>
      <c r="O248" s="159" t="s">
        <v>910</v>
      </c>
      <c r="P248" s="167" t="str">
        <f>HYPERLINK("https://my.pitchbook.com?c=118607-86T", "View company online")</f>
        <v>View company online</v>
      </c>
      <c r="Q248" s="156"/>
    </row>
    <row r="249" spans="2:17" hidden="1" x14ac:dyDescent="0.2">
      <c r="B249" s="159" t="s">
        <v>1363</v>
      </c>
      <c r="C249" s="159" t="s">
        <v>1364</v>
      </c>
      <c r="D249" s="160">
        <v>27</v>
      </c>
      <c r="E249" s="161" t="s">
        <v>799</v>
      </c>
      <c r="F249" s="159" t="s">
        <v>1365</v>
      </c>
      <c r="G249" s="162">
        <v>44377</v>
      </c>
      <c r="H249" s="163">
        <f t="shared" si="4"/>
        <v>2021</v>
      </c>
      <c r="I249" s="159" t="s">
        <v>807</v>
      </c>
      <c r="J249" s="160">
        <v>100</v>
      </c>
      <c r="K249" s="160">
        <v>121</v>
      </c>
      <c r="L249" s="164">
        <v>7</v>
      </c>
      <c r="M249" s="165">
        <f t="shared" si="5"/>
        <v>14.285714285714286</v>
      </c>
      <c r="N249" s="166" t="s">
        <v>1366</v>
      </c>
      <c r="O249" s="159" t="s">
        <v>803</v>
      </c>
      <c r="P249" s="167" t="str">
        <f>HYPERLINK("https://my.pitchbook.com?c=175553-20T", "View company online")</f>
        <v>View company online</v>
      </c>
      <c r="Q249" s="156"/>
    </row>
    <row r="250" spans="2:17" hidden="1" x14ac:dyDescent="0.2">
      <c r="B250" s="159" t="s">
        <v>1077</v>
      </c>
      <c r="C250" s="159" t="s">
        <v>1078</v>
      </c>
      <c r="D250" s="160">
        <v>27.2</v>
      </c>
      <c r="E250" s="161" t="s">
        <v>835</v>
      </c>
      <c r="F250" s="159" t="s">
        <v>1079</v>
      </c>
      <c r="G250" s="162">
        <v>44518</v>
      </c>
      <c r="H250" s="163">
        <f t="shared" si="4"/>
        <v>2021</v>
      </c>
      <c r="I250" s="159" t="s">
        <v>807</v>
      </c>
      <c r="J250" s="160">
        <v>140</v>
      </c>
      <c r="K250" s="160">
        <v>167</v>
      </c>
      <c r="L250" s="164">
        <v>4.9000000000000004</v>
      </c>
      <c r="M250" s="165">
        <f t="shared" si="5"/>
        <v>28.571428571428569</v>
      </c>
      <c r="N250" s="166" t="s">
        <v>1367</v>
      </c>
      <c r="O250" s="159" t="s">
        <v>809</v>
      </c>
      <c r="P250" s="167" t="str">
        <f>HYPERLINK("https://my.pitchbook.com?c=183725-29T", "View company online")</f>
        <v>View company online</v>
      </c>
      <c r="Q250" s="156"/>
    </row>
    <row r="251" spans="2:17" hidden="1" x14ac:dyDescent="0.2">
      <c r="B251" s="159" t="s">
        <v>1368</v>
      </c>
      <c r="C251" s="159" t="s">
        <v>1369</v>
      </c>
      <c r="D251" s="160">
        <v>27.5</v>
      </c>
      <c r="E251" s="161" t="s">
        <v>799</v>
      </c>
      <c r="F251" s="159" t="s">
        <v>1370</v>
      </c>
      <c r="G251" s="162">
        <v>44124</v>
      </c>
      <c r="H251" s="163">
        <f t="shared" si="4"/>
        <v>2020</v>
      </c>
      <c r="I251" s="159" t="s">
        <v>801</v>
      </c>
      <c r="J251" s="160">
        <v>75.87</v>
      </c>
      <c r="K251" s="160">
        <v>100.89</v>
      </c>
      <c r="L251" s="164">
        <v>4.7699999999999996</v>
      </c>
      <c r="M251" s="165">
        <f t="shared" si="5"/>
        <v>15.905660377358492</v>
      </c>
      <c r="N251" s="166" t="s">
        <v>1371</v>
      </c>
      <c r="O251" s="159" t="s">
        <v>1372</v>
      </c>
      <c r="P251" s="167" t="str">
        <f>HYPERLINK("https://my.pitchbook.com?c=126918-73T", "View company online")</f>
        <v>View company online</v>
      </c>
      <c r="Q251" s="156"/>
    </row>
    <row r="252" spans="2:17" hidden="1" x14ac:dyDescent="0.2">
      <c r="B252" s="159" t="s">
        <v>1373</v>
      </c>
      <c r="C252" s="159" t="s">
        <v>1374</v>
      </c>
      <c r="D252" s="160">
        <v>27.53</v>
      </c>
      <c r="E252" s="161" t="s">
        <v>835</v>
      </c>
      <c r="F252" s="159" t="s">
        <v>1375</v>
      </c>
      <c r="G252" s="162">
        <v>43927</v>
      </c>
      <c r="H252" s="163">
        <f t="shared" si="4"/>
        <v>2020</v>
      </c>
      <c r="I252" s="159" t="s">
        <v>807</v>
      </c>
      <c r="J252" s="160">
        <v>84.42</v>
      </c>
      <c r="K252" s="160">
        <v>111.96</v>
      </c>
      <c r="L252" s="164">
        <v>2.19</v>
      </c>
      <c r="M252" s="165">
        <f t="shared" si="5"/>
        <v>38.547945205479451</v>
      </c>
      <c r="N252" s="166" t="s">
        <v>1376</v>
      </c>
      <c r="O252" s="159" t="s">
        <v>838</v>
      </c>
      <c r="P252" s="167" t="str">
        <f>HYPERLINK("https://my.pitchbook.com?c=134643-70T", "View company online")</f>
        <v>View company online</v>
      </c>
      <c r="Q252" s="156"/>
    </row>
    <row r="253" spans="2:17" hidden="1" x14ac:dyDescent="0.2">
      <c r="B253" s="159" t="s">
        <v>1377</v>
      </c>
      <c r="C253" s="159" t="s">
        <v>1378</v>
      </c>
      <c r="D253" s="160">
        <v>27.62</v>
      </c>
      <c r="E253" s="161" t="s">
        <v>452</v>
      </c>
      <c r="F253" s="159" t="s">
        <v>1379</v>
      </c>
      <c r="G253" s="162">
        <v>43101</v>
      </c>
      <c r="H253" s="163">
        <f t="shared" si="4"/>
        <v>2018</v>
      </c>
      <c r="I253" s="159" t="s">
        <v>801</v>
      </c>
      <c r="J253" s="160">
        <v>248.59</v>
      </c>
      <c r="K253" s="160">
        <v>276.20999999999998</v>
      </c>
      <c r="L253" s="164">
        <v>44.09</v>
      </c>
      <c r="M253" s="165">
        <f t="shared" si="5"/>
        <v>5.6382399637105918</v>
      </c>
      <c r="N253" s="166" t="s">
        <v>1380</v>
      </c>
      <c r="O253" s="159" t="s">
        <v>910</v>
      </c>
      <c r="P253" s="167" t="str">
        <f>HYPERLINK("https://my.pitchbook.com?c=115668-01T", "View company online")</f>
        <v>View company online</v>
      </c>
      <c r="Q253" s="156"/>
    </row>
    <row r="254" spans="2:17" hidden="1" x14ac:dyDescent="0.2">
      <c r="B254" s="159" t="s">
        <v>1381</v>
      </c>
      <c r="C254" s="159" t="s">
        <v>1382</v>
      </c>
      <c r="D254" s="160">
        <v>27.67</v>
      </c>
      <c r="E254" s="161" t="s">
        <v>799</v>
      </c>
      <c r="F254" s="159" t="s">
        <v>1383</v>
      </c>
      <c r="G254" s="162">
        <v>43243</v>
      </c>
      <c r="H254" s="163">
        <f t="shared" si="4"/>
        <v>2018</v>
      </c>
      <c r="I254" s="159" t="s">
        <v>807</v>
      </c>
      <c r="J254" s="160">
        <v>50</v>
      </c>
      <c r="K254" s="160">
        <v>77.67</v>
      </c>
      <c r="L254" s="164">
        <v>9.6</v>
      </c>
      <c r="M254" s="165">
        <f t="shared" si="5"/>
        <v>5.2083333333333339</v>
      </c>
      <c r="N254" s="166" t="s">
        <v>1384</v>
      </c>
      <c r="O254" s="159" t="s">
        <v>803</v>
      </c>
      <c r="P254" s="167" t="str">
        <f>HYPERLINK("https://my.pitchbook.com?c=90906-58T", "View company online")</f>
        <v>View company online</v>
      </c>
      <c r="Q254" s="156"/>
    </row>
    <row r="255" spans="2:17" hidden="1" x14ac:dyDescent="0.2">
      <c r="B255" s="159" t="s">
        <v>1385</v>
      </c>
      <c r="C255" s="159" t="s">
        <v>1386</v>
      </c>
      <c r="D255" s="160">
        <v>27.96</v>
      </c>
      <c r="E255" s="161" t="s">
        <v>452</v>
      </c>
      <c r="F255" s="159" t="s">
        <v>1387</v>
      </c>
      <c r="G255" s="162">
        <v>43609</v>
      </c>
      <c r="H255" s="163">
        <f t="shared" si="4"/>
        <v>2019</v>
      </c>
      <c r="I255" s="159" t="s">
        <v>801</v>
      </c>
      <c r="J255" s="160">
        <v>162.18</v>
      </c>
      <c r="K255" s="160">
        <v>184.54</v>
      </c>
      <c r="L255" s="164">
        <v>3.23</v>
      </c>
      <c r="M255" s="165">
        <f t="shared" si="5"/>
        <v>50.210526315789473</v>
      </c>
      <c r="N255" s="166" t="s">
        <v>1388</v>
      </c>
      <c r="O255" s="159" t="s">
        <v>838</v>
      </c>
      <c r="P255" s="167" t="str">
        <f>HYPERLINK("https://my.pitchbook.com?c=119638-18T", "View company online")</f>
        <v>View company online</v>
      </c>
      <c r="Q255" s="156"/>
    </row>
    <row r="256" spans="2:17" hidden="1" x14ac:dyDescent="0.2">
      <c r="B256" s="159" t="s">
        <v>1389</v>
      </c>
      <c r="C256" s="159" t="s">
        <v>1390</v>
      </c>
      <c r="D256" s="160">
        <v>28</v>
      </c>
      <c r="E256" s="161" t="s">
        <v>799</v>
      </c>
      <c r="F256" s="159" t="s">
        <v>1391</v>
      </c>
      <c r="G256" s="162">
        <v>44152</v>
      </c>
      <c r="H256" s="163">
        <f t="shared" si="4"/>
        <v>2020</v>
      </c>
      <c r="I256" s="159" t="s">
        <v>807</v>
      </c>
      <c r="J256" s="160">
        <v>83.07</v>
      </c>
      <c r="K256" s="160">
        <v>111.07</v>
      </c>
      <c r="L256" s="164">
        <v>42.11</v>
      </c>
      <c r="M256" s="165">
        <f t="shared" si="5"/>
        <v>1.972690572310615</v>
      </c>
      <c r="N256" s="166" t="s">
        <v>1392</v>
      </c>
      <c r="O256" s="159" t="s">
        <v>1197</v>
      </c>
      <c r="P256" s="167" t="str">
        <f>HYPERLINK("https://my.pitchbook.com?c=165071-17T", "View company online")</f>
        <v>View company online</v>
      </c>
      <c r="Q256" s="156"/>
    </row>
    <row r="257" spans="2:17" hidden="1" x14ac:dyDescent="0.2">
      <c r="B257" s="159" t="s">
        <v>1393</v>
      </c>
      <c r="C257" s="159" t="s">
        <v>1394</v>
      </c>
      <c r="D257" s="160">
        <v>28</v>
      </c>
      <c r="E257" s="161" t="s">
        <v>1052</v>
      </c>
      <c r="F257" s="159" t="s">
        <v>1395</v>
      </c>
      <c r="G257" s="162">
        <v>43290</v>
      </c>
      <c r="H257" s="163">
        <f t="shared" si="4"/>
        <v>2018</v>
      </c>
      <c r="I257" s="159" t="s">
        <v>807</v>
      </c>
      <c r="J257" s="160">
        <v>250</v>
      </c>
      <c r="K257" s="160">
        <v>278</v>
      </c>
      <c r="L257" s="164">
        <v>14.5</v>
      </c>
      <c r="M257" s="165">
        <f t="shared" si="5"/>
        <v>17.241379310344829</v>
      </c>
      <c r="N257" s="166" t="s">
        <v>1396</v>
      </c>
      <c r="O257" s="159" t="s">
        <v>1002</v>
      </c>
      <c r="P257" s="167" t="str">
        <f>HYPERLINK("https://my.pitchbook.com?c=127810-09T", "View company online")</f>
        <v>View company online</v>
      </c>
      <c r="Q257" s="156"/>
    </row>
    <row r="258" spans="2:17" hidden="1" x14ac:dyDescent="0.2">
      <c r="B258" s="159" t="s">
        <v>1397</v>
      </c>
      <c r="C258" s="159" t="s">
        <v>1398</v>
      </c>
      <c r="D258" s="160">
        <v>28.07</v>
      </c>
      <c r="E258" s="161" t="s">
        <v>799</v>
      </c>
      <c r="F258" s="159" t="s">
        <v>1399</v>
      </c>
      <c r="G258" s="162">
        <v>43584</v>
      </c>
      <c r="H258" s="163">
        <f t="shared" si="4"/>
        <v>2019</v>
      </c>
      <c r="I258" s="159" t="s">
        <v>801</v>
      </c>
      <c r="J258" s="160">
        <v>52.02</v>
      </c>
      <c r="K258" s="160">
        <v>74.86</v>
      </c>
      <c r="L258" s="164">
        <v>14.68</v>
      </c>
      <c r="M258" s="165">
        <f t="shared" si="5"/>
        <v>3.5435967302452318</v>
      </c>
      <c r="N258" s="166" t="s">
        <v>1400</v>
      </c>
      <c r="O258" s="159" t="s">
        <v>971</v>
      </c>
      <c r="P258" s="167" t="str">
        <f>HYPERLINK("https://my.pitchbook.com?c=118447-21T", "View company online")</f>
        <v>View company online</v>
      </c>
      <c r="Q258" s="156"/>
    </row>
    <row r="259" spans="2:17" hidden="1" x14ac:dyDescent="0.2">
      <c r="B259" s="159" t="s">
        <v>977</v>
      </c>
      <c r="C259" s="159" t="s">
        <v>978</v>
      </c>
      <c r="D259" s="160">
        <v>28.13</v>
      </c>
      <c r="E259" s="161" t="s">
        <v>1005</v>
      </c>
      <c r="F259" s="159" t="s">
        <v>980</v>
      </c>
      <c r="G259" s="162">
        <v>44194</v>
      </c>
      <c r="H259" s="163">
        <f t="shared" si="4"/>
        <v>2020</v>
      </c>
      <c r="I259" s="159" t="s">
        <v>807</v>
      </c>
      <c r="J259" s="160">
        <v>88.11</v>
      </c>
      <c r="K259" s="160">
        <v>116.24</v>
      </c>
      <c r="L259" s="164">
        <v>13.98</v>
      </c>
      <c r="M259" s="165">
        <f t="shared" si="5"/>
        <v>6.3025751072961373</v>
      </c>
      <c r="N259" s="166" t="s">
        <v>1401</v>
      </c>
      <c r="O259" s="159" t="s">
        <v>803</v>
      </c>
      <c r="P259" s="167" t="str">
        <f>HYPERLINK("https://my.pitchbook.com?c=164123-02T", "View company online")</f>
        <v>View company online</v>
      </c>
      <c r="Q259" s="156"/>
    </row>
    <row r="260" spans="2:17" hidden="1" x14ac:dyDescent="0.2">
      <c r="B260" s="159" t="s">
        <v>1402</v>
      </c>
      <c r="C260" s="159" t="s">
        <v>1403</v>
      </c>
      <c r="D260" s="160">
        <v>29</v>
      </c>
      <c r="E260" s="161" t="s">
        <v>452</v>
      </c>
      <c r="F260" s="159" t="s">
        <v>1404</v>
      </c>
      <c r="G260" s="162">
        <v>43528</v>
      </c>
      <c r="H260" s="163">
        <f t="shared" si="4"/>
        <v>2019</v>
      </c>
      <c r="I260" s="159" t="s">
        <v>807</v>
      </c>
      <c r="J260" s="160">
        <v>427.69</v>
      </c>
      <c r="K260" s="160">
        <v>456.69</v>
      </c>
      <c r="L260" s="164">
        <v>181.55</v>
      </c>
      <c r="M260" s="165">
        <f t="shared" si="5"/>
        <v>2.3557697603965848</v>
      </c>
      <c r="N260" s="166" t="s">
        <v>1405</v>
      </c>
      <c r="O260" s="159" t="s">
        <v>1406</v>
      </c>
      <c r="P260" s="167" t="str">
        <f>HYPERLINK("https://my.pitchbook.com?c=126987-85T", "View company online")</f>
        <v>View company online</v>
      </c>
      <c r="Q260" s="156"/>
    </row>
    <row r="261" spans="2:17" hidden="1" x14ac:dyDescent="0.2">
      <c r="B261" s="159" t="s">
        <v>1122</v>
      </c>
      <c r="C261" s="159" t="s">
        <v>1123</v>
      </c>
      <c r="D261" s="160">
        <v>29.53</v>
      </c>
      <c r="E261" s="161" t="s">
        <v>799</v>
      </c>
      <c r="F261" s="159" t="s">
        <v>1124</v>
      </c>
      <c r="G261" s="162">
        <v>43250</v>
      </c>
      <c r="H261" s="163">
        <f t="shared" si="4"/>
        <v>2018</v>
      </c>
      <c r="I261" s="159" t="s">
        <v>801</v>
      </c>
      <c r="J261" s="160">
        <v>51.83</v>
      </c>
      <c r="K261" s="160">
        <v>81.36</v>
      </c>
      <c r="L261" s="164">
        <v>3.22</v>
      </c>
      <c r="M261" s="165">
        <f t="shared" si="5"/>
        <v>16.096273291925463</v>
      </c>
      <c r="N261" s="166" t="s">
        <v>1407</v>
      </c>
      <c r="O261" s="159" t="s">
        <v>803</v>
      </c>
      <c r="P261" s="167" t="str">
        <f>HYPERLINK("https://my.pitchbook.com?c=106615-54T", "View company online")</f>
        <v>View company online</v>
      </c>
      <c r="Q261" s="156"/>
    </row>
    <row r="262" spans="2:17" hidden="1" x14ac:dyDescent="0.2">
      <c r="B262" s="159" t="s">
        <v>1408</v>
      </c>
      <c r="C262" s="159" t="s">
        <v>1409</v>
      </c>
      <c r="D262" s="160">
        <v>29.72</v>
      </c>
      <c r="E262" s="161" t="s">
        <v>452</v>
      </c>
      <c r="F262" s="159" t="s">
        <v>1410</v>
      </c>
      <c r="G262" s="162">
        <v>44378</v>
      </c>
      <c r="H262" s="163">
        <f t="shared" si="4"/>
        <v>2021</v>
      </c>
      <c r="I262" s="159" t="s">
        <v>807</v>
      </c>
      <c r="J262" s="160">
        <v>57.52</v>
      </c>
      <c r="K262" s="160">
        <v>87.24</v>
      </c>
      <c r="L262" s="164">
        <v>6.5</v>
      </c>
      <c r="M262" s="165">
        <f t="shared" si="5"/>
        <v>8.8492307692307701</v>
      </c>
      <c r="N262" s="166" t="s">
        <v>1411</v>
      </c>
      <c r="O262" s="159" t="s">
        <v>1412</v>
      </c>
      <c r="P262" s="167" t="str">
        <f>HYPERLINK("https://my.pitchbook.com?c=175603-60T", "View company online")</f>
        <v>View company online</v>
      </c>
      <c r="Q262" s="156"/>
    </row>
    <row r="263" spans="2:17" hidden="1" x14ac:dyDescent="0.2">
      <c r="B263" s="159" t="s">
        <v>1413</v>
      </c>
      <c r="C263" s="159" t="s">
        <v>1414</v>
      </c>
      <c r="D263" s="160">
        <v>30</v>
      </c>
      <c r="E263" s="161" t="s">
        <v>835</v>
      </c>
      <c r="F263" s="159" t="s">
        <v>1415</v>
      </c>
      <c r="G263" s="162">
        <v>43560</v>
      </c>
      <c r="H263" s="163">
        <f t="shared" si="4"/>
        <v>2019</v>
      </c>
      <c r="I263" s="159" t="s">
        <v>807</v>
      </c>
      <c r="J263" s="160">
        <v>200</v>
      </c>
      <c r="K263" s="160">
        <v>230</v>
      </c>
      <c r="L263" s="164">
        <v>100</v>
      </c>
      <c r="M263" s="165">
        <f t="shared" si="5"/>
        <v>2</v>
      </c>
      <c r="N263" s="166" t="s">
        <v>1416</v>
      </c>
      <c r="O263" s="159" t="s">
        <v>1417</v>
      </c>
      <c r="P263" s="167" t="str">
        <f>HYPERLINK("https://my.pitchbook.com?c=116579-44T", "View company online")</f>
        <v>View company online</v>
      </c>
      <c r="Q263" s="156"/>
    </row>
    <row r="264" spans="2:17" hidden="1" x14ac:dyDescent="0.2">
      <c r="B264" s="159" t="s">
        <v>1235</v>
      </c>
      <c r="C264" s="159" t="s">
        <v>1236</v>
      </c>
      <c r="D264" s="160">
        <v>30</v>
      </c>
      <c r="E264" s="161" t="s">
        <v>835</v>
      </c>
      <c r="F264" s="159" t="s">
        <v>1237</v>
      </c>
      <c r="G264" s="162">
        <v>43846</v>
      </c>
      <c r="H264" s="163">
        <f t="shared" si="4"/>
        <v>2020</v>
      </c>
      <c r="I264" s="159" t="s">
        <v>807</v>
      </c>
      <c r="J264" s="160">
        <v>400</v>
      </c>
      <c r="K264" s="160">
        <v>430</v>
      </c>
      <c r="L264" s="164">
        <v>28.35</v>
      </c>
      <c r="M264" s="165">
        <f t="shared" si="5"/>
        <v>14.109347442680775</v>
      </c>
      <c r="N264" s="166" t="s">
        <v>1418</v>
      </c>
      <c r="O264" s="159" t="s">
        <v>932</v>
      </c>
      <c r="P264" s="167" t="str">
        <f>HYPERLINK("https://my.pitchbook.com?c=129977-56T", "View company online")</f>
        <v>View company online</v>
      </c>
      <c r="Q264" s="156"/>
    </row>
    <row r="265" spans="2:17" hidden="1" x14ac:dyDescent="0.2">
      <c r="B265" s="159" t="s">
        <v>1419</v>
      </c>
      <c r="C265" s="159" t="s">
        <v>1420</v>
      </c>
      <c r="D265" s="160">
        <v>30</v>
      </c>
      <c r="E265" s="161" t="s">
        <v>452</v>
      </c>
      <c r="F265" s="159" t="s">
        <v>1421</v>
      </c>
      <c r="G265" s="162">
        <v>44004</v>
      </c>
      <c r="H265" s="163">
        <f t="shared" si="4"/>
        <v>2020</v>
      </c>
      <c r="I265" s="159" t="s">
        <v>801</v>
      </c>
      <c r="J265" s="160">
        <v>112.85</v>
      </c>
      <c r="K265" s="160">
        <v>136.11000000000001</v>
      </c>
      <c r="L265" s="164">
        <v>14.35</v>
      </c>
      <c r="M265" s="165">
        <f t="shared" si="5"/>
        <v>7.8641114982578397</v>
      </c>
      <c r="N265" s="166" t="s">
        <v>1422</v>
      </c>
      <c r="O265" s="159" t="s">
        <v>838</v>
      </c>
      <c r="P265" s="167" t="str">
        <f>HYPERLINK("https://my.pitchbook.com?c=165382-48T", "View company online")</f>
        <v>View company online</v>
      </c>
      <c r="Q265" s="156"/>
    </row>
    <row r="266" spans="2:17" hidden="1" x14ac:dyDescent="0.2">
      <c r="B266" s="159" t="s">
        <v>1423</v>
      </c>
      <c r="C266" s="159" t="s">
        <v>1424</v>
      </c>
      <c r="D266" s="160">
        <v>30</v>
      </c>
      <c r="E266" s="161" t="s">
        <v>835</v>
      </c>
      <c r="F266" s="159" t="s">
        <v>1425</v>
      </c>
      <c r="G266" s="162">
        <v>43817</v>
      </c>
      <c r="H266" s="163">
        <f t="shared" si="4"/>
        <v>2019</v>
      </c>
      <c r="I266" s="159" t="s">
        <v>807</v>
      </c>
      <c r="J266" s="160">
        <v>210</v>
      </c>
      <c r="K266" s="160">
        <v>240</v>
      </c>
      <c r="L266" s="164">
        <v>22.5</v>
      </c>
      <c r="M266" s="165">
        <f t="shared" si="5"/>
        <v>9.3333333333333339</v>
      </c>
      <c r="N266" s="166" t="s">
        <v>1426</v>
      </c>
      <c r="O266" s="159" t="s">
        <v>803</v>
      </c>
      <c r="P266" s="167" t="str">
        <f>HYPERLINK("https://my.pitchbook.com?c=129970-72T", "View company online")</f>
        <v>View company online</v>
      </c>
      <c r="Q266" s="156"/>
    </row>
    <row r="267" spans="2:17" hidden="1" x14ac:dyDescent="0.2">
      <c r="B267" s="159" t="s">
        <v>1427</v>
      </c>
      <c r="C267" s="159" t="s">
        <v>1428</v>
      </c>
      <c r="D267" s="160">
        <v>30</v>
      </c>
      <c r="E267" s="161" t="s">
        <v>799</v>
      </c>
      <c r="F267" s="159" t="s">
        <v>1429</v>
      </c>
      <c r="G267" s="162">
        <v>44349</v>
      </c>
      <c r="H267" s="163">
        <f t="shared" si="4"/>
        <v>2021</v>
      </c>
      <c r="I267" s="159" t="s">
        <v>801</v>
      </c>
      <c r="J267" s="160">
        <v>130</v>
      </c>
      <c r="K267" s="160">
        <v>160</v>
      </c>
      <c r="L267" s="164">
        <v>10</v>
      </c>
      <c r="M267" s="165">
        <f t="shared" si="5"/>
        <v>13</v>
      </c>
      <c r="N267" s="166" t="s">
        <v>1430</v>
      </c>
      <c r="O267" s="159" t="s">
        <v>966</v>
      </c>
      <c r="P267" s="167" t="str">
        <f>HYPERLINK("https://my.pitchbook.com?c=173345-86T", "View company online")</f>
        <v>View company online</v>
      </c>
      <c r="Q267" s="156"/>
    </row>
    <row r="268" spans="2:17" hidden="1" x14ac:dyDescent="0.2">
      <c r="B268" s="159" t="s">
        <v>1431</v>
      </c>
      <c r="C268" s="159" t="s">
        <v>1432</v>
      </c>
      <c r="D268" s="160">
        <v>30</v>
      </c>
      <c r="E268" s="161" t="s">
        <v>799</v>
      </c>
      <c r="F268" s="159" t="s">
        <v>1433</v>
      </c>
      <c r="G268" s="162">
        <v>43587</v>
      </c>
      <c r="H268" s="163">
        <f t="shared" si="4"/>
        <v>2019</v>
      </c>
      <c r="I268" s="159" t="s">
        <v>801</v>
      </c>
      <c r="J268" s="160">
        <v>82.1</v>
      </c>
      <c r="K268" s="160">
        <v>112.1</v>
      </c>
      <c r="L268" s="164">
        <v>13.8</v>
      </c>
      <c r="M268" s="165">
        <f t="shared" si="5"/>
        <v>5.9492753623188399</v>
      </c>
      <c r="N268" s="166" t="s">
        <v>1434</v>
      </c>
      <c r="O268" s="159" t="s">
        <v>803</v>
      </c>
      <c r="P268" s="167" t="str">
        <f>HYPERLINK("https://my.pitchbook.com?c=118543-96T", "View company online")</f>
        <v>View company online</v>
      </c>
      <c r="Q268" s="156"/>
    </row>
    <row r="269" spans="2:17" hidden="1" x14ac:dyDescent="0.2">
      <c r="B269" s="159" t="s">
        <v>1435</v>
      </c>
      <c r="C269" s="159" t="s">
        <v>1436</v>
      </c>
      <c r="D269" s="160">
        <v>30</v>
      </c>
      <c r="E269" s="161" t="s">
        <v>799</v>
      </c>
      <c r="F269" s="159" t="s">
        <v>1437</v>
      </c>
      <c r="G269" s="162">
        <v>44518</v>
      </c>
      <c r="H269" s="163">
        <f t="shared" si="4"/>
        <v>2021</v>
      </c>
      <c r="I269" s="159" t="s">
        <v>807</v>
      </c>
      <c r="J269" s="160">
        <v>180</v>
      </c>
      <c r="K269" s="160">
        <v>210</v>
      </c>
      <c r="L269" s="164">
        <v>9.1</v>
      </c>
      <c r="M269" s="165">
        <f t="shared" si="5"/>
        <v>19.780219780219781</v>
      </c>
      <c r="N269" s="166" t="s">
        <v>1438</v>
      </c>
      <c r="O269" s="159" t="s">
        <v>803</v>
      </c>
      <c r="P269" s="167" t="str">
        <f>HYPERLINK("https://my.pitchbook.com?c=180472-78T", "View company online")</f>
        <v>View company online</v>
      </c>
      <c r="Q269" s="156"/>
    </row>
    <row r="270" spans="2:17" hidden="1" x14ac:dyDescent="0.2">
      <c r="B270" s="159" t="s">
        <v>1439</v>
      </c>
      <c r="C270" s="159" t="s">
        <v>1440</v>
      </c>
      <c r="D270" s="160">
        <v>30</v>
      </c>
      <c r="E270" s="161" t="s">
        <v>979</v>
      </c>
      <c r="F270" s="159" t="s">
        <v>1441</v>
      </c>
      <c r="G270" s="162">
        <v>43461</v>
      </c>
      <c r="H270" s="163">
        <f t="shared" si="4"/>
        <v>2018</v>
      </c>
      <c r="I270" s="159" t="s">
        <v>807</v>
      </c>
      <c r="J270" s="160">
        <v>95</v>
      </c>
      <c r="K270" s="160">
        <v>125</v>
      </c>
      <c r="L270" s="164">
        <v>15</v>
      </c>
      <c r="M270" s="165">
        <f t="shared" si="5"/>
        <v>6.333333333333333</v>
      </c>
      <c r="N270" s="166" t="s">
        <v>1442</v>
      </c>
      <c r="O270" s="159" t="s">
        <v>803</v>
      </c>
      <c r="P270" s="167" t="str">
        <f>HYPERLINK("https://my.pitchbook.com?c=115046-29T", "View company online")</f>
        <v>View company online</v>
      </c>
      <c r="Q270" s="156"/>
    </row>
    <row r="271" spans="2:17" x14ac:dyDescent="0.2">
      <c r="B271" s="159" t="s">
        <v>1443</v>
      </c>
      <c r="C271" s="159" t="s">
        <v>1444</v>
      </c>
      <c r="D271" s="160">
        <v>30</v>
      </c>
      <c r="E271" s="161" t="s">
        <v>452</v>
      </c>
      <c r="F271" s="159" t="s">
        <v>1445</v>
      </c>
      <c r="G271" s="162">
        <v>44627</v>
      </c>
      <c r="H271" s="163">
        <f t="shared" si="4"/>
        <v>2022</v>
      </c>
      <c r="I271" s="159" t="s">
        <v>807</v>
      </c>
      <c r="J271" s="160">
        <v>1470</v>
      </c>
      <c r="K271" s="160">
        <v>1500</v>
      </c>
      <c r="L271" s="164">
        <v>458</v>
      </c>
      <c r="M271" s="165">
        <f t="shared" si="5"/>
        <v>3.2096069868995634</v>
      </c>
      <c r="N271" s="166" t="s">
        <v>1446</v>
      </c>
      <c r="O271" s="159" t="s">
        <v>838</v>
      </c>
      <c r="P271" s="167" t="str">
        <f>HYPERLINK("https://my.pitchbook.com?c=189726-04T", "View company online")</f>
        <v>View company online</v>
      </c>
      <c r="Q271" s="156"/>
    </row>
    <row r="272" spans="2:17" hidden="1" x14ac:dyDescent="0.2">
      <c r="B272" s="159" t="s">
        <v>1447</v>
      </c>
      <c r="C272" s="159" t="s">
        <v>1448</v>
      </c>
      <c r="D272" s="160">
        <v>30</v>
      </c>
      <c r="E272" s="161" t="s">
        <v>452</v>
      </c>
      <c r="F272" s="159" t="s">
        <v>1449</v>
      </c>
      <c r="G272" s="162">
        <v>44525</v>
      </c>
      <c r="H272" s="163">
        <f t="shared" si="4"/>
        <v>2021</v>
      </c>
      <c r="I272" s="159" t="s">
        <v>807</v>
      </c>
      <c r="J272" s="160">
        <v>180</v>
      </c>
      <c r="K272" s="160">
        <v>210</v>
      </c>
      <c r="L272" s="164">
        <v>47.74</v>
      </c>
      <c r="M272" s="165">
        <f t="shared" si="5"/>
        <v>3.7704231252618348</v>
      </c>
      <c r="N272" s="166" t="s">
        <v>1450</v>
      </c>
      <c r="O272" s="159" t="s">
        <v>803</v>
      </c>
      <c r="P272" s="167" t="str">
        <f>HYPERLINK("https://my.pitchbook.com?c=192430-00T", "View company online")</f>
        <v>View company online</v>
      </c>
      <c r="Q272" s="156"/>
    </row>
    <row r="273" spans="2:17" hidden="1" x14ac:dyDescent="0.2">
      <c r="B273" s="159" t="s">
        <v>1451</v>
      </c>
      <c r="C273" s="159" t="s">
        <v>1452</v>
      </c>
      <c r="D273" s="160">
        <v>30.21</v>
      </c>
      <c r="E273" s="161" t="s">
        <v>835</v>
      </c>
      <c r="F273" s="159" t="s">
        <v>1453</v>
      </c>
      <c r="G273" s="162">
        <v>43760</v>
      </c>
      <c r="H273" s="163">
        <f t="shared" si="4"/>
        <v>2019</v>
      </c>
      <c r="I273" s="159" t="s">
        <v>807</v>
      </c>
      <c r="J273" s="160">
        <v>271.85000000000002</v>
      </c>
      <c r="K273" s="160">
        <v>302.06</v>
      </c>
      <c r="L273" s="164">
        <v>100</v>
      </c>
      <c r="M273" s="165">
        <f t="shared" si="5"/>
        <v>2.7185000000000001</v>
      </c>
      <c r="N273" s="166" t="s">
        <v>1454</v>
      </c>
      <c r="O273" s="159" t="s">
        <v>803</v>
      </c>
      <c r="P273" s="167" t="str">
        <f>HYPERLINK("https://my.pitchbook.com?c=125142-76T", "View company online")</f>
        <v>View company online</v>
      </c>
      <c r="Q273" s="156"/>
    </row>
    <row r="274" spans="2:17" hidden="1" x14ac:dyDescent="0.2">
      <c r="B274" s="159" t="s">
        <v>1455</v>
      </c>
      <c r="C274" s="159" t="s">
        <v>1456</v>
      </c>
      <c r="D274" s="160">
        <v>30.51</v>
      </c>
      <c r="E274" s="161" t="s">
        <v>799</v>
      </c>
      <c r="F274" s="159" t="s">
        <v>1457</v>
      </c>
      <c r="G274" s="162">
        <v>43388</v>
      </c>
      <c r="H274" s="163">
        <f t="shared" si="4"/>
        <v>2018</v>
      </c>
      <c r="I274" s="159" t="s">
        <v>801</v>
      </c>
      <c r="J274" s="160">
        <v>130.9</v>
      </c>
      <c r="K274" s="160">
        <v>161.41</v>
      </c>
      <c r="L274" s="164">
        <v>3.44</v>
      </c>
      <c r="M274" s="165">
        <f t="shared" si="5"/>
        <v>38.052325581395351</v>
      </c>
      <c r="N274" s="166" t="s">
        <v>1458</v>
      </c>
      <c r="O274" s="159" t="s">
        <v>1002</v>
      </c>
      <c r="P274" s="167" t="str">
        <f>HYPERLINK("https://my.pitchbook.com?c=112905-37T", "View company online")</f>
        <v>View company online</v>
      </c>
      <c r="Q274" s="156"/>
    </row>
    <row r="275" spans="2:17" hidden="1" x14ac:dyDescent="0.2">
      <c r="B275" s="159" t="s">
        <v>1459</v>
      </c>
      <c r="C275" s="159" t="s">
        <v>1460</v>
      </c>
      <c r="D275" s="160">
        <v>31</v>
      </c>
      <c r="E275" s="161" t="s">
        <v>799</v>
      </c>
      <c r="F275" s="159" t="s">
        <v>1461</v>
      </c>
      <c r="G275" s="162">
        <v>44154</v>
      </c>
      <c r="H275" s="163">
        <f t="shared" si="4"/>
        <v>2020</v>
      </c>
      <c r="I275" s="159" t="s">
        <v>807</v>
      </c>
      <c r="J275" s="160">
        <v>160</v>
      </c>
      <c r="K275" s="160">
        <v>191</v>
      </c>
      <c r="L275" s="164">
        <v>50</v>
      </c>
      <c r="M275" s="165">
        <f t="shared" si="5"/>
        <v>3.2</v>
      </c>
      <c r="N275" s="166" t="s">
        <v>1462</v>
      </c>
      <c r="O275" s="159" t="s">
        <v>803</v>
      </c>
      <c r="P275" s="167" t="str">
        <f>HYPERLINK("https://my.pitchbook.com?c=160469-65T", "View company online")</f>
        <v>View company online</v>
      </c>
      <c r="Q275" s="156"/>
    </row>
    <row r="276" spans="2:17" hidden="1" x14ac:dyDescent="0.2">
      <c r="B276" s="159" t="s">
        <v>1463</v>
      </c>
      <c r="C276" s="159" t="s">
        <v>1464</v>
      </c>
      <c r="D276" s="160">
        <v>31.04</v>
      </c>
      <c r="E276" s="161" t="s">
        <v>816</v>
      </c>
      <c r="F276" s="159" t="s">
        <v>1465</v>
      </c>
      <c r="G276" s="162">
        <v>44302</v>
      </c>
      <c r="H276" s="163">
        <f t="shared" si="4"/>
        <v>2021</v>
      </c>
      <c r="I276" s="159" t="s">
        <v>801</v>
      </c>
      <c r="J276" s="160">
        <v>132.03</v>
      </c>
      <c r="K276" s="160">
        <v>152.72999999999999</v>
      </c>
      <c r="L276" s="164">
        <v>8.69</v>
      </c>
      <c r="M276" s="165">
        <f t="shared" si="5"/>
        <v>15.193325661680094</v>
      </c>
      <c r="N276" s="166" t="s">
        <v>1466</v>
      </c>
      <c r="O276" s="159" t="s">
        <v>838</v>
      </c>
      <c r="P276" s="167" t="str">
        <f>HYPERLINK("https://my.pitchbook.com?c=171945-10T", "View company online")</f>
        <v>View company online</v>
      </c>
      <c r="Q276" s="156"/>
    </row>
    <row r="277" spans="2:17" hidden="1" x14ac:dyDescent="0.2">
      <c r="B277" s="159" t="s">
        <v>1467</v>
      </c>
      <c r="C277" s="159" t="s">
        <v>1468</v>
      </c>
      <c r="D277" s="160">
        <v>31.27</v>
      </c>
      <c r="E277" s="161" t="s">
        <v>835</v>
      </c>
      <c r="F277" s="159" t="s">
        <v>1469</v>
      </c>
      <c r="G277" s="162">
        <v>44061</v>
      </c>
      <c r="H277" s="163">
        <f t="shared" si="4"/>
        <v>2020</v>
      </c>
      <c r="I277" s="159" t="s">
        <v>807</v>
      </c>
      <c r="J277" s="160">
        <v>89.1</v>
      </c>
      <c r="K277" s="160">
        <v>120.37</v>
      </c>
      <c r="L277" s="164">
        <v>4.96</v>
      </c>
      <c r="M277" s="165">
        <f t="shared" si="5"/>
        <v>17.963709677419352</v>
      </c>
      <c r="N277" s="166" t="s">
        <v>1470</v>
      </c>
      <c r="O277" s="159" t="s">
        <v>838</v>
      </c>
      <c r="P277" s="167" t="str">
        <f>HYPERLINK("https://my.pitchbook.com?c=140225-95T", "View company online")</f>
        <v>View company online</v>
      </c>
      <c r="Q277" s="156"/>
    </row>
    <row r="278" spans="2:17" hidden="1" x14ac:dyDescent="0.2">
      <c r="B278" s="159" t="s">
        <v>1471</v>
      </c>
      <c r="C278" s="159" t="s">
        <v>1472</v>
      </c>
      <c r="D278" s="160">
        <v>31.84</v>
      </c>
      <c r="E278" s="161" t="s">
        <v>1170</v>
      </c>
      <c r="F278" s="159" t="s">
        <v>1473</v>
      </c>
      <c r="G278" s="162">
        <v>43760</v>
      </c>
      <c r="H278" s="163">
        <f t="shared" si="4"/>
        <v>2019</v>
      </c>
      <c r="I278" s="159" t="s">
        <v>807</v>
      </c>
      <c r="J278" s="160">
        <v>740.93</v>
      </c>
      <c r="K278" s="160">
        <v>772.78</v>
      </c>
      <c r="L278" s="164">
        <v>94.11</v>
      </c>
      <c r="M278" s="165">
        <f t="shared" si="5"/>
        <v>7.8730209329508014</v>
      </c>
      <c r="N278" s="166" t="s">
        <v>1474</v>
      </c>
      <c r="O278" s="159" t="s">
        <v>966</v>
      </c>
      <c r="P278" s="167" t="str">
        <f>HYPERLINK("https://my.pitchbook.com?c=125174-53T", "View company online")</f>
        <v>View company online</v>
      </c>
      <c r="Q278" s="156"/>
    </row>
    <row r="279" spans="2:17" hidden="1" x14ac:dyDescent="0.2">
      <c r="B279" s="159" t="s">
        <v>1475</v>
      </c>
      <c r="C279" s="159" t="s">
        <v>1476</v>
      </c>
      <c r="D279" s="160">
        <v>31.89</v>
      </c>
      <c r="E279" s="161" t="s">
        <v>799</v>
      </c>
      <c r="F279" s="159" t="s">
        <v>1477</v>
      </c>
      <c r="G279" s="162">
        <v>44701</v>
      </c>
      <c r="H279" s="163">
        <f t="shared" si="4"/>
        <v>2022</v>
      </c>
      <c r="I279" s="159" t="s">
        <v>807</v>
      </c>
      <c r="J279" s="160">
        <v>58.9</v>
      </c>
      <c r="K279" s="160">
        <v>90.79</v>
      </c>
      <c r="L279" s="164">
        <v>4.16</v>
      </c>
      <c r="M279" s="165">
        <f t="shared" si="5"/>
        <v>14.158653846153845</v>
      </c>
      <c r="N279" s="166" t="s">
        <v>1478</v>
      </c>
      <c r="O279" s="159" t="s">
        <v>803</v>
      </c>
      <c r="P279" s="167" t="str">
        <f>HYPERLINK("https://my.pitchbook.com?c=197137-63T", "View company online")</f>
        <v>View company online</v>
      </c>
      <c r="Q279" s="156"/>
    </row>
    <row r="280" spans="2:17" hidden="1" x14ac:dyDescent="0.2">
      <c r="B280" s="159" t="s">
        <v>1479</v>
      </c>
      <c r="C280" s="159" t="s">
        <v>1480</v>
      </c>
      <c r="D280" s="160">
        <v>32</v>
      </c>
      <c r="E280" s="161" t="s">
        <v>799</v>
      </c>
      <c r="F280" s="159" t="s">
        <v>1481</v>
      </c>
      <c r="G280" s="162">
        <v>43731</v>
      </c>
      <c r="H280" s="163">
        <f t="shared" si="4"/>
        <v>2019</v>
      </c>
      <c r="I280" s="159" t="s">
        <v>801</v>
      </c>
      <c r="J280" s="160">
        <v>185</v>
      </c>
      <c r="K280" s="160">
        <v>217</v>
      </c>
      <c r="L280" s="164">
        <v>10.6</v>
      </c>
      <c r="M280" s="165">
        <f t="shared" si="5"/>
        <v>17.452830188679247</v>
      </c>
      <c r="N280" s="166" t="s">
        <v>1482</v>
      </c>
      <c r="O280" s="159" t="s">
        <v>838</v>
      </c>
      <c r="P280" s="167" t="str">
        <f>HYPERLINK("https://my.pitchbook.com?c=123741-37T", "View company online")</f>
        <v>View company online</v>
      </c>
      <c r="Q280" s="156"/>
    </row>
    <row r="281" spans="2:17" hidden="1" x14ac:dyDescent="0.2">
      <c r="B281" s="159" t="s">
        <v>1483</v>
      </c>
      <c r="C281" s="159" t="s">
        <v>1484</v>
      </c>
      <c r="D281" s="160">
        <v>32</v>
      </c>
      <c r="E281" s="161" t="s">
        <v>799</v>
      </c>
      <c r="F281" s="159" t="s">
        <v>1485</v>
      </c>
      <c r="G281" s="162">
        <v>44503</v>
      </c>
      <c r="H281" s="163">
        <f t="shared" si="4"/>
        <v>2021</v>
      </c>
      <c r="I281" s="159" t="s">
        <v>801</v>
      </c>
      <c r="J281" s="160">
        <v>248</v>
      </c>
      <c r="K281" s="160">
        <v>276</v>
      </c>
      <c r="L281" s="164">
        <v>44</v>
      </c>
      <c r="M281" s="165">
        <f t="shared" si="5"/>
        <v>5.6363636363636367</v>
      </c>
      <c r="N281" s="166" t="s">
        <v>1486</v>
      </c>
      <c r="O281" s="159" t="s">
        <v>1002</v>
      </c>
      <c r="P281" s="167" t="str">
        <f>HYPERLINK("https://my.pitchbook.com?c=182860-66T", "View company online")</f>
        <v>View company online</v>
      </c>
      <c r="Q281" s="156"/>
    </row>
    <row r="282" spans="2:17" hidden="1" x14ac:dyDescent="0.2">
      <c r="B282" s="159" t="s">
        <v>1487</v>
      </c>
      <c r="C282" s="159" t="s">
        <v>1488</v>
      </c>
      <c r="D282" s="160">
        <v>32.19</v>
      </c>
      <c r="E282" s="161" t="s">
        <v>452</v>
      </c>
      <c r="F282" s="159" t="s">
        <v>1489</v>
      </c>
      <c r="G282" s="162">
        <v>43713</v>
      </c>
      <c r="H282" s="163">
        <f t="shared" si="4"/>
        <v>2019</v>
      </c>
      <c r="I282" s="159" t="s">
        <v>801</v>
      </c>
      <c r="J282" s="160">
        <v>91.61</v>
      </c>
      <c r="K282" s="160">
        <v>123.79</v>
      </c>
      <c r="L282" s="164">
        <v>10.16</v>
      </c>
      <c r="M282" s="165">
        <f t="shared" si="5"/>
        <v>9.0167322834645667</v>
      </c>
      <c r="N282" s="166" t="s">
        <v>1490</v>
      </c>
      <c r="O282" s="159" t="s">
        <v>803</v>
      </c>
      <c r="P282" s="167" t="str">
        <f>HYPERLINK("https://my.pitchbook.com?c=164254-42T", "View company online")</f>
        <v>View company online</v>
      </c>
      <c r="Q282" s="156"/>
    </row>
    <row r="283" spans="2:17" hidden="1" x14ac:dyDescent="0.2">
      <c r="B283" s="159" t="s">
        <v>877</v>
      </c>
      <c r="C283" s="159" t="s">
        <v>878</v>
      </c>
      <c r="D283" s="160">
        <v>32.82</v>
      </c>
      <c r="E283" s="161" t="s">
        <v>799</v>
      </c>
      <c r="F283" s="159" t="s">
        <v>879</v>
      </c>
      <c r="G283" s="162">
        <v>43708</v>
      </c>
      <c r="H283" s="163">
        <f t="shared" si="4"/>
        <v>2019</v>
      </c>
      <c r="I283" s="159" t="s">
        <v>801</v>
      </c>
      <c r="J283" s="160">
        <v>132.43</v>
      </c>
      <c r="K283" s="160">
        <v>165.24</v>
      </c>
      <c r="L283" s="164">
        <v>8.44</v>
      </c>
      <c r="M283" s="165">
        <f t="shared" si="5"/>
        <v>15.690758293838865</v>
      </c>
      <c r="N283" s="166" t="s">
        <v>1491</v>
      </c>
      <c r="O283" s="159" t="s">
        <v>823</v>
      </c>
      <c r="P283" s="167" t="str">
        <f>HYPERLINK("https://my.pitchbook.com?c=123164-65T", "View company online")</f>
        <v>View company online</v>
      </c>
      <c r="Q283" s="156"/>
    </row>
    <row r="284" spans="2:17" hidden="1" x14ac:dyDescent="0.2">
      <c r="B284" s="159" t="s">
        <v>1492</v>
      </c>
      <c r="C284" s="159" t="s">
        <v>1493</v>
      </c>
      <c r="D284" s="160">
        <v>33</v>
      </c>
      <c r="E284" s="161" t="s">
        <v>1149</v>
      </c>
      <c r="F284" s="159" t="s">
        <v>1494</v>
      </c>
      <c r="G284" s="162">
        <v>43375</v>
      </c>
      <c r="H284" s="163">
        <f t="shared" si="4"/>
        <v>2018</v>
      </c>
      <c r="I284" s="159" t="s">
        <v>807</v>
      </c>
      <c r="J284" s="160">
        <v>367</v>
      </c>
      <c r="K284" s="160">
        <v>400</v>
      </c>
      <c r="L284" s="164">
        <v>100</v>
      </c>
      <c r="M284" s="165">
        <f t="shared" si="5"/>
        <v>3.67</v>
      </c>
      <c r="N284" s="166" t="s">
        <v>1495</v>
      </c>
      <c r="O284" s="159" t="s">
        <v>803</v>
      </c>
      <c r="P284" s="167" t="str">
        <f>HYPERLINK("https://my.pitchbook.com?c=112435-66T", "View company online")</f>
        <v>View company online</v>
      </c>
      <c r="Q284" s="156"/>
    </row>
    <row r="285" spans="2:17" hidden="1" x14ac:dyDescent="0.2">
      <c r="B285" s="159" t="s">
        <v>1496</v>
      </c>
      <c r="C285" s="159" t="s">
        <v>1497</v>
      </c>
      <c r="D285" s="160">
        <v>34.43</v>
      </c>
      <c r="E285" s="161" t="s">
        <v>835</v>
      </c>
      <c r="F285" s="159" t="s">
        <v>1498</v>
      </c>
      <c r="G285" s="162">
        <v>43620</v>
      </c>
      <c r="H285" s="163">
        <f t="shared" si="4"/>
        <v>2019</v>
      </c>
      <c r="I285" s="159" t="s">
        <v>807</v>
      </c>
      <c r="J285" s="160">
        <v>103.08</v>
      </c>
      <c r="K285" s="160">
        <v>137.52000000000001</v>
      </c>
      <c r="L285" s="164">
        <v>13.08</v>
      </c>
      <c r="M285" s="165">
        <f t="shared" si="5"/>
        <v>7.8807339449541285</v>
      </c>
      <c r="N285" s="166" t="s">
        <v>1499</v>
      </c>
      <c r="O285" s="159" t="s">
        <v>889</v>
      </c>
      <c r="P285" s="167" t="str">
        <f>HYPERLINK("https://my.pitchbook.com?c=119433-70T", "View company online")</f>
        <v>View company online</v>
      </c>
      <c r="Q285" s="156"/>
    </row>
    <row r="286" spans="2:17" hidden="1" x14ac:dyDescent="0.2">
      <c r="B286" s="159" t="s">
        <v>1500</v>
      </c>
      <c r="C286" s="159" t="s">
        <v>1501</v>
      </c>
      <c r="D286" s="160">
        <v>34.5</v>
      </c>
      <c r="E286" s="161" t="s">
        <v>835</v>
      </c>
      <c r="F286" s="159" t="s">
        <v>1502</v>
      </c>
      <c r="G286" s="162">
        <v>43670</v>
      </c>
      <c r="H286" s="163">
        <f t="shared" si="4"/>
        <v>2019</v>
      </c>
      <c r="I286" s="159" t="s">
        <v>807</v>
      </c>
      <c r="J286" s="160">
        <v>380.5</v>
      </c>
      <c r="K286" s="160">
        <v>415</v>
      </c>
      <c r="L286" s="164">
        <v>21</v>
      </c>
      <c r="M286" s="165">
        <f t="shared" si="5"/>
        <v>18.11904761904762</v>
      </c>
      <c r="N286" s="166" t="s">
        <v>1503</v>
      </c>
      <c r="O286" s="159" t="s">
        <v>803</v>
      </c>
      <c r="P286" s="167" t="str">
        <f>HYPERLINK("https://my.pitchbook.com?c=121233-34T", "View company online")</f>
        <v>View company online</v>
      </c>
      <c r="Q286" s="156"/>
    </row>
    <row r="287" spans="2:17" x14ac:dyDescent="0.2">
      <c r="B287" s="159" t="s">
        <v>1504</v>
      </c>
      <c r="C287" s="159" t="s">
        <v>1505</v>
      </c>
      <c r="D287" s="160">
        <v>34.57</v>
      </c>
      <c r="E287" s="161" t="s">
        <v>452</v>
      </c>
      <c r="F287" s="159" t="s">
        <v>1506</v>
      </c>
      <c r="G287" s="162">
        <v>44634</v>
      </c>
      <c r="H287" s="163">
        <f t="shared" si="4"/>
        <v>2022</v>
      </c>
      <c r="I287" s="159" t="s">
        <v>807</v>
      </c>
      <c r="J287" s="160">
        <v>156.41</v>
      </c>
      <c r="K287" s="160">
        <v>190.98</v>
      </c>
      <c r="L287" s="164">
        <v>9.1199999999999992</v>
      </c>
      <c r="M287" s="165">
        <f t="shared" si="5"/>
        <v>17.150219298245617</v>
      </c>
      <c r="N287" s="166" t="s">
        <v>1507</v>
      </c>
      <c r="O287" s="159" t="s">
        <v>803</v>
      </c>
      <c r="P287" s="167" t="str">
        <f>HYPERLINK("https://my.pitchbook.com?c=190243-99T", "View company online")</f>
        <v>View company online</v>
      </c>
      <c r="Q287" s="156"/>
    </row>
    <row r="288" spans="2:17" hidden="1" x14ac:dyDescent="0.2">
      <c r="B288" s="159" t="s">
        <v>1508</v>
      </c>
      <c r="C288" s="159" t="s">
        <v>1509</v>
      </c>
      <c r="D288" s="160">
        <v>34.9</v>
      </c>
      <c r="E288" s="161" t="s">
        <v>452</v>
      </c>
      <c r="F288" s="159" t="s">
        <v>1510</v>
      </c>
      <c r="G288" s="162">
        <v>44349</v>
      </c>
      <c r="H288" s="163">
        <f t="shared" si="4"/>
        <v>2021</v>
      </c>
      <c r="I288" s="159" t="s">
        <v>807</v>
      </c>
      <c r="J288" s="160">
        <v>38.71</v>
      </c>
      <c r="K288" s="160">
        <v>73.62</v>
      </c>
      <c r="L288" s="164">
        <v>6.36</v>
      </c>
      <c r="M288" s="165">
        <f t="shared" si="5"/>
        <v>6.0864779874213832</v>
      </c>
      <c r="N288" s="166" t="s">
        <v>1511</v>
      </c>
      <c r="O288" s="159" t="s">
        <v>803</v>
      </c>
      <c r="P288" s="167" t="str">
        <f>HYPERLINK("https://my.pitchbook.com?c=168883-39T", "View company online")</f>
        <v>View company online</v>
      </c>
      <c r="Q288" s="156"/>
    </row>
    <row r="289" spans="2:17" hidden="1" x14ac:dyDescent="0.2">
      <c r="B289" s="159" t="s">
        <v>1512</v>
      </c>
      <c r="C289" s="159" t="s">
        <v>1513</v>
      </c>
      <c r="D289" s="160">
        <v>35</v>
      </c>
      <c r="E289" s="161" t="s">
        <v>1318</v>
      </c>
      <c r="F289" s="159" t="s">
        <v>1514</v>
      </c>
      <c r="G289" s="162">
        <v>44166</v>
      </c>
      <c r="H289" s="163">
        <f t="shared" si="4"/>
        <v>2020</v>
      </c>
      <c r="I289" s="159" t="s">
        <v>801</v>
      </c>
      <c r="J289" s="160">
        <v>140</v>
      </c>
      <c r="K289" s="160">
        <v>175</v>
      </c>
      <c r="L289" s="164">
        <v>34</v>
      </c>
      <c r="M289" s="165">
        <f t="shared" si="5"/>
        <v>4.117647058823529</v>
      </c>
      <c r="N289" s="166" t="s">
        <v>1515</v>
      </c>
      <c r="O289" s="159" t="s">
        <v>803</v>
      </c>
      <c r="P289" s="167" t="str">
        <f>HYPERLINK("https://my.pitchbook.com?c=160949-26T", "View company online")</f>
        <v>View company online</v>
      </c>
      <c r="Q289" s="156"/>
    </row>
    <row r="290" spans="2:17" hidden="1" x14ac:dyDescent="0.2">
      <c r="B290" s="159" t="s">
        <v>1516</v>
      </c>
      <c r="C290" s="159" t="s">
        <v>1517</v>
      </c>
      <c r="D290" s="160">
        <v>35</v>
      </c>
      <c r="E290" s="161" t="s">
        <v>799</v>
      </c>
      <c r="F290" s="159" t="s">
        <v>1518</v>
      </c>
      <c r="G290" s="162">
        <v>43762</v>
      </c>
      <c r="H290" s="163">
        <f t="shared" si="4"/>
        <v>2019</v>
      </c>
      <c r="I290" s="159" t="s">
        <v>801</v>
      </c>
      <c r="J290" s="160">
        <v>130</v>
      </c>
      <c r="K290" s="160">
        <v>165</v>
      </c>
      <c r="L290" s="164">
        <v>30</v>
      </c>
      <c r="M290" s="165">
        <f t="shared" si="5"/>
        <v>4.333333333333333</v>
      </c>
      <c r="N290" s="166" t="s">
        <v>1519</v>
      </c>
      <c r="O290" s="159" t="s">
        <v>910</v>
      </c>
      <c r="P290" s="167" t="str">
        <f>HYPERLINK("https://my.pitchbook.com?c=125336-08T", "View company online")</f>
        <v>View company online</v>
      </c>
      <c r="Q290" s="156"/>
    </row>
    <row r="291" spans="2:17" hidden="1" x14ac:dyDescent="0.2">
      <c r="B291" s="159" t="s">
        <v>1520</v>
      </c>
      <c r="C291" s="159" t="s">
        <v>1521</v>
      </c>
      <c r="D291" s="160">
        <v>35</v>
      </c>
      <c r="E291" s="161" t="s">
        <v>799</v>
      </c>
      <c r="F291" s="159" t="s">
        <v>1522</v>
      </c>
      <c r="G291" s="162">
        <v>43152</v>
      </c>
      <c r="H291" s="163">
        <f t="shared" si="4"/>
        <v>2018</v>
      </c>
      <c r="I291" s="159" t="s">
        <v>807</v>
      </c>
      <c r="J291" s="160">
        <v>138</v>
      </c>
      <c r="K291" s="160">
        <v>173</v>
      </c>
      <c r="L291" s="164">
        <v>10</v>
      </c>
      <c r="M291" s="165">
        <f t="shared" si="5"/>
        <v>13.8</v>
      </c>
      <c r="N291" s="166" t="s">
        <v>1523</v>
      </c>
      <c r="O291" s="159" t="s">
        <v>803</v>
      </c>
      <c r="P291" s="167" t="str">
        <f>HYPERLINK("https://my.pitchbook.com?c=101787-76T", "View company online")</f>
        <v>View company online</v>
      </c>
      <c r="Q291" s="156"/>
    </row>
    <row r="292" spans="2:17" hidden="1" x14ac:dyDescent="0.2">
      <c r="B292" s="159" t="s">
        <v>1524</v>
      </c>
      <c r="C292" s="159" t="s">
        <v>1525</v>
      </c>
      <c r="D292" s="160">
        <v>35</v>
      </c>
      <c r="E292" s="161" t="s">
        <v>835</v>
      </c>
      <c r="F292" s="159" t="s">
        <v>1526</v>
      </c>
      <c r="G292" s="162">
        <v>44321</v>
      </c>
      <c r="H292" s="163">
        <f t="shared" si="4"/>
        <v>2021</v>
      </c>
      <c r="I292" s="159" t="s">
        <v>807</v>
      </c>
      <c r="J292" s="160">
        <v>133.34</v>
      </c>
      <c r="K292" s="160">
        <v>168.34</v>
      </c>
      <c r="L292" s="164">
        <v>15</v>
      </c>
      <c r="M292" s="165">
        <f t="shared" si="5"/>
        <v>8.8893333333333331</v>
      </c>
      <c r="N292" s="166" t="s">
        <v>1527</v>
      </c>
      <c r="O292" s="159" t="s">
        <v>1002</v>
      </c>
      <c r="P292" s="167" t="str">
        <f>HYPERLINK("https://my.pitchbook.com?c=171629-38T", "View company online")</f>
        <v>View company online</v>
      </c>
      <c r="Q292" s="156"/>
    </row>
    <row r="293" spans="2:17" hidden="1" x14ac:dyDescent="0.2">
      <c r="B293" s="159" t="s">
        <v>1528</v>
      </c>
      <c r="C293" s="159" t="s">
        <v>1529</v>
      </c>
      <c r="D293" s="160">
        <v>35</v>
      </c>
      <c r="E293" s="161" t="s">
        <v>835</v>
      </c>
      <c r="F293" s="159" t="s">
        <v>1530</v>
      </c>
      <c r="G293" s="162">
        <v>43238</v>
      </c>
      <c r="H293" s="163">
        <f t="shared" si="4"/>
        <v>2018</v>
      </c>
      <c r="I293" s="159" t="s">
        <v>807</v>
      </c>
      <c r="J293" s="160">
        <v>77</v>
      </c>
      <c r="K293" s="160">
        <v>112</v>
      </c>
      <c r="L293" s="164">
        <v>17</v>
      </c>
      <c r="M293" s="165">
        <f t="shared" si="5"/>
        <v>4.5294117647058822</v>
      </c>
      <c r="N293" s="166" t="s">
        <v>1531</v>
      </c>
      <c r="O293" s="159" t="s">
        <v>1532</v>
      </c>
      <c r="P293" s="167" t="str">
        <f>HYPERLINK("https://my.pitchbook.com?c=106217-02T", "View company online")</f>
        <v>View company online</v>
      </c>
      <c r="Q293" s="156"/>
    </row>
    <row r="294" spans="2:17" hidden="1" x14ac:dyDescent="0.2">
      <c r="B294" s="159" t="s">
        <v>1533</v>
      </c>
      <c r="C294" s="159" t="s">
        <v>1534</v>
      </c>
      <c r="D294" s="160">
        <v>35</v>
      </c>
      <c r="E294" s="161" t="s">
        <v>799</v>
      </c>
      <c r="F294" s="159" t="s">
        <v>1535</v>
      </c>
      <c r="G294" s="162">
        <v>43671</v>
      </c>
      <c r="H294" s="163">
        <f t="shared" si="4"/>
        <v>2019</v>
      </c>
      <c r="I294" s="159" t="s">
        <v>801</v>
      </c>
      <c r="J294" s="160">
        <v>135</v>
      </c>
      <c r="K294" s="160">
        <v>170</v>
      </c>
      <c r="L294" s="164">
        <v>17</v>
      </c>
      <c r="M294" s="165">
        <f t="shared" si="5"/>
        <v>7.9411764705882355</v>
      </c>
      <c r="N294" s="166" t="s">
        <v>1536</v>
      </c>
      <c r="O294" s="159" t="s">
        <v>867</v>
      </c>
      <c r="P294" s="167" t="str">
        <f>HYPERLINK("https://my.pitchbook.com?c=105582-61T", "View company online")</f>
        <v>View company online</v>
      </c>
      <c r="Q294" s="156"/>
    </row>
    <row r="295" spans="2:17" hidden="1" x14ac:dyDescent="0.2">
      <c r="B295" s="159" t="s">
        <v>1537</v>
      </c>
      <c r="C295" s="159" t="s">
        <v>1538</v>
      </c>
      <c r="D295" s="160">
        <v>35.21</v>
      </c>
      <c r="E295" s="161" t="s">
        <v>452</v>
      </c>
      <c r="F295" s="159" t="s">
        <v>1539</v>
      </c>
      <c r="G295" s="162">
        <v>44518</v>
      </c>
      <c r="H295" s="163">
        <f t="shared" si="4"/>
        <v>2021</v>
      </c>
      <c r="I295" s="159" t="s">
        <v>807</v>
      </c>
      <c r="J295" s="160">
        <v>18.329999999999998</v>
      </c>
      <c r="K295" s="160">
        <v>53.54</v>
      </c>
      <c r="L295" s="164">
        <v>2.62</v>
      </c>
      <c r="M295" s="165">
        <f t="shared" si="5"/>
        <v>6.9961832061068696</v>
      </c>
      <c r="N295" s="166" t="s">
        <v>1540</v>
      </c>
      <c r="O295" s="159" t="s">
        <v>976</v>
      </c>
      <c r="P295" s="167" t="str">
        <f>HYPERLINK("https://my.pitchbook.com?c=180926-74T", "View company online")</f>
        <v>View company online</v>
      </c>
      <c r="Q295" s="156"/>
    </row>
    <row r="296" spans="2:17" hidden="1" x14ac:dyDescent="0.2">
      <c r="B296" s="159" t="s">
        <v>1541</v>
      </c>
      <c r="C296" s="159" t="s">
        <v>1542</v>
      </c>
      <c r="D296" s="160">
        <v>35.29</v>
      </c>
      <c r="E296" s="161" t="s">
        <v>799</v>
      </c>
      <c r="F296" s="159" t="s">
        <v>1543</v>
      </c>
      <c r="G296" s="162">
        <v>44175</v>
      </c>
      <c r="H296" s="163">
        <f t="shared" si="4"/>
        <v>2020</v>
      </c>
      <c r="I296" s="159" t="s">
        <v>807</v>
      </c>
      <c r="J296" s="160">
        <v>280</v>
      </c>
      <c r="K296" s="160">
        <v>315.29000000000002</v>
      </c>
      <c r="L296" s="164">
        <v>14</v>
      </c>
      <c r="M296" s="165">
        <f t="shared" si="5"/>
        <v>20</v>
      </c>
      <c r="N296" s="166" t="s">
        <v>1544</v>
      </c>
      <c r="O296" s="159" t="s">
        <v>803</v>
      </c>
      <c r="P296" s="167" t="str">
        <f>HYPERLINK("https://my.pitchbook.com?c=160863-85T", "View company online")</f>
        <v>View company online</v>
      </c>
      <c r="Q296" s="156"/>
    </row>
    <row r="297" spans="2:17" hidden="1" x14ac:dyDescent="0.2">
      <c r="B297" s="159" t="s">
        <v>1545</v>
      </c>
      <c r="C297" s="159" t="s">
        <v>1546</v>
      </c>
      <c r="D297" s="160">
        <v>35.33</v>
      </c>
      <c r="E297" s="161" t="s">
        <v>799</v>
      </c>
      <c r="F297" s="159" t="s">
        <v>1547</v>
      </c>
      <c r="G297" s="162">
        <v>43446</v>
      </c>
      <c r="H297" s="163">
        <f t="shared" si="4"/>
        <v>2018</v>
      </c>
      <c r="I297" s="159" t="s">
        <v>801</v>
      </c>
      <c r="J297" s="160">
        <v>61.33</v>
      </c>
      <c r="K297" s="160">
        <v>87.6</v>
      </c>
      <c r="L297" s="164">
        <v>17.14</v>
      </c>
      <c r="M297" s="165">
        <f t="shared" si="5"/>
        <v>3.5781796966161026</v>
      </c>
      <c r="N297" s="166" t="s">
        <v>1548</v>
      </c>
      <c r="O297" s="159" t="s">
        <v>971</v>
      </c>
      <c r="P297" s="167" t="str">
        <f>HYPERLINK("https://my.pitchbook.com?c=114634-27T", "View company online")</f>
        <v>View company online</v>
      </c>
      <c r="Q297" s="156"/>
    </row>
    <row r="298" spans="2:17" hidden="1" x14ac:dyDescent="0.2">
      <c r="B298" s="159" t="s">
        <v>1549</v>
      </c>
      <c r="C298" s="159" t="s">
        <v>1550</v>
      </c>
      <c r="D298" s="160">
        <v>36.590000000000003</v>
      </c>
      <c r="E298" s="161" t="s">
        <v>799</v>
      </c>
      <c r="F298" s="159" t="s">
        <v>1551</v>
      </c>
      <c r="G298" s="162">
        <v>43223</v>
      </c>
      <c r="H298" s="163">
        <f t="shared" si="4"/>
        <v>2018</v>
      </c>
      <c r="I298" s="159" t="s">
        <v>807</v>
      </c>
      <c r="J298" s="160">
        <v>110</v>
      </c>
      <c r="K298" s="160">
        <v>146.59</v>
      </c>
      <c r="L298" s="164">
        <v>50</v>
      </c>
      <c r="M298" s="165">
        <f t="shared" si="5"/>
        <v>2.2000000000000002</v>
      </c>
      <c r="N298" s="166" t="s">
        <v>1552</v>
      </c>
      <c r="O298" s="159" t="s">
        <v>803</v>
      </c>
      <c r="P298" s="167" t="str">
        <f>HYPERLINK("https://my.pitchbook.com?c=105334-48T", "View company online")</f>
        <v>View company online</v>
      </c>
      <c r="Q298" s="156"/>
    </row>
    <row r="299" spans="2:17" hidden="1" x14ac:dyDescent="0.2">
      <c r="B299" s="159" t="s">
        <v>1553</v>
      </c>
      <c r="C299" s="159" t="s">
        <v>1554</v>
      </c>
      <c r="D299" s="160">
        <v>36.72</v>
      </c>
      <c r="E299" s="161" t="s">
        <v>816</v>
      </c>
      <c r="F299" s="159" t="s">
        <v>1555</v>
      </c>
      <c r="G299" s="162">
        <v>44174</v>
      </c>
      <c r="H299" s="163">
        <f t="shared" si="4"/>
        <v>2020</v>
      </c>
      <c r="I299" s="159" t="s">
        <v>801</v>
      </c>
      <c r="J299" s="160">
        <v>60</v>
      </c>
      <c r="K299" s="160">
        <v>96.72</v>
      </c>
      <c r="L299" s="164">
        <v>4.2</v>
      </c>
      <c r="M299" s="165">
        <f t="shared" si="5"/>
        <v>14.285714285714285</v>
      </c>
      <c r="N299" s="166" t="s">
        <v>1556</v>
      </c>
      <c r="O299" s="159" t="s">
        <v>889</v>
      </c>
      <c r="P299" s="167" t="str">
        <f>HYPERLINK("https://my.pitchbook.com?c=126227-89T", "View company online")</f>
        <v>View company online</v>
      </c>
      <c r="Q299" s="156"/>
    </row>
    <row r="300" spans="2:17" hidden="1" x14ac:dyDescent="0.2">
      <c r="B300" s="159" t="s">
        <v>1557</v>
      </c>
      <c r="C300" s="159" t="s">
        <v>1558</v>
      </c>
      <c r="D300" s="160">
        <v>36.75</v>
      </c>
      <c r="E300" s="161" t="s">
        <v>799</v>
      </c>
      <c r="F300" s="159" t="s">
        <v>1559</v>
      </c>
      <c r="G300" s="162">
        <v>44090</v>
      </c>
      <c r="H300" s="163">
        <f t="shared" si="4"/>
        <v>2020</v>
      </c>
      <c r="I300" s="159" t="s">
        <v>807</v>
      </c>
      <c r="J300" s="160">
        <v>94.51</v>
      </c>
      <c r="K300" s="160">
        <v>131.26</v>
      </c>
      <c r="L300" s="164">
        <v>10.130000000000001</v>
      </c>
      <c r="M300" s="165">
        <f t="shared" si="5"/>
        <v>9.329713721618953</v>
      </c>
      <c r="N300" s="166" t="s">
        <v>1560</v>
      </c>
      <c r="O300" s="159" t="s">
        <v>803</v>
      </c>
      <c r="P300" s="167" t="str">
        <f>HYPERLINK("https://my.pitchbook.com?c=156610-99T", "View company online")</f>
        <v>View company online</v>
      </c>
      <c r="Q300" s="156"/>
    </row>
    <row r="301" spans="2:17" hidden="1" x14ac:dyDescent="0.2">
      <c r="B301" s="159" t="s">
        <v>1561</v>
      </c>
      <c r="C301" s="159" t="s">
        <v>1562</v>
      </c>
      <c r="D301" s="160">
        <v>37.25</v>
      </c>
      <c r="E301" s="161" t="s">
        <v>826</v>
      </c>
      <c r="F301" s="159" t="s">
        <v>1563</v>
      </c>
      <c r="G301" s="162">
        <v>43439</v>
      </c>
      <c r="H301" s="163">
        <f t="shared" si="4"/>
        <v>2018</v>
      </c>
      <c r="I301" s="159" t="s">
        <v>807</v>
      </c>
      <c r="J301" s="160">
        <v>217.35</v>
      </c>
      <c r="K301" s="160">
        <v>250.85</v>
      </c>
      <c r="L301" s="164">
        <v>11.89</v>
      </c>
      <c r="M301" s="165">
        <f t="shared" si="5"/>
        <v>18.280067283431453</v>
      </c>
      <c r="N301" s="166" t="s">
        <v>1564</v>
      </c>
      <c r="O301" s="159" t="s">
        <v>803</v>
      </c>
      <c r="P301" s="167" t="str">
        <f>HYPERLINK("https://my.pitchbook.com?c=114363-64T", "View company online")</f>
        <v>View company online</v>
      </c>
      <c r="Q301" s="156"/>
    </row>
    <row r="302" spans="2:17" hidden="1" x14ac:dyDescent="0.2">
      <c r="B302" s="159" t="s">
        <v>1565</v>
      </c>
      <c r="C302" s="159" t="s">
        <v>1566</v>
      </c>
      <c r="D302" s="160">
        <v>37.42</v>
      </c>
      <c r="E302" s="161" t="s">
        <v>835</v>
      </c>
      <c r="F302" s="159" t="s">
        <v>1567</v>
      </c>
      <c r="G302" s="162">
        <v>43215</v>
      </c>
      <c r="H302" s="163">
        <f t="shared" si="4"/>
        <v>2018</v>
      </c>
      <c r="I302" s="159" t="s">
        <v>807</v>
      </c>
      <c r="J302" s="160">
        <v>43.87</v>
      </c>
      <c r="K302" s="160">
        <v>68.650000000000006</v>
      </c>
      <c r="L302" s="164">
        <v>10.84</v>
      </c>
      <c r="M302" s="165">
        <f t="shared" si="5"/>
        <v>4.0470479704797047</v>
      </c>
      <c r="N302" s="166" t="s">
        <v>1568</v>
      </c>
      <c r="O302" s="159" t="s">
        <v>803</v>
      </c>
      <c r="P302" s="167" t="str">
        <f>HYPERLINK("https://my.pitchbook.com?c=110394-19T", "View company online")</f>
        <v>View company online</v>
      </c>
      <c r="Q302" s="156"/>
    </row>
    <row r="303" spans="2:17" hidden="1" x14ac:dyDescent="0.2">
      <c r="B303" s="159" t="s">
        <v>1569</v>
      </c>
      <c r="C303" s="159" t="s">
        <v>1570</v>
      </c>
      <c r="D303" s="160">
        <v>37.57</v>
      </c>
      <c r="E303" s="161" t="s">
        <v>1149</v>
      </c>
      <c r="F303" s="159" t="s">
        <v>1571</v>
      </c>
      <c r="G303" s="162">
        <v>44342</v>
      </c>
      <c r="H303" s="163">
        <f t="shared" si="4"/>
        <v>2021</v>
      </c>
      <c r="I303" s="159" t="s">
        <v>807</v>
      </c>
      <c r="J303" s="160">
        <v>1000</v>
      </c>
      <c r="K303" s="160">
        <v>1037.57</v>
      </c>
      <c r="L303" s="164">
        <v>150</v>
      </c>
      <c r="M303" s="165">
        <f t="shared" si="5"/>
        <v>6.666666666666667</v>
      </c>
      <c r="N303" s="166" t="s">
        <v>1572</v>
      </c>
      <c r="O303" s="159" t="s">
        <v>1138</v>
      </c>
      <c r="P303" s="167" t="str">
        <f>HYPERLINK("https://my.pitchbook.com?c=172915-30T", "View company online")</f>
        <v>View company online</v>
      </c>
      <c r="Q303" s="156"/>
    </row>
    <row r="304" spans="2:17" hidden="1" x14ac:dyDescent="0.2">
      <c r="B304" s="159" t="s">
        <v>937</v>
      </c>
      <c r="C304" s="159" t="s">
        <v>938</v>
      </c>
      <c r="D304" s="160">
        <v>38</v>
      </c>
      <c r="E304" s="161" t="s">
        <v>799</v>
      </c>
      <c r="F304" s="159" t="s">
        <v>939</v>
      </c>
      <c r="G304" s="162">
        <v>44259</v>
      </c>
      <c r="H304" s="163">
        <f t="shared" si="4"/>
        <v>2021</v>
      </c>
      <c r="I304" s="159" t="s">
        <v>807</v>
      </c>
      <c r="J304" s="160">
        <v>170</v>
      </c>
      <c r="K304" s="160">
        <v>200.36</v>
      </c>
      <c r="L304" s="164">
        <v>8</v>
      </c>
      <c r="M304" s="165">
        <f t="shared" si="5"/>
        <v>21.25</v>
      </c>
      <c r="N304" s="166" t="s">
        <v>1573</v>
      </c>
      <c r="O304" s="159" t="s">
        <v>809</v>
      </c>
      <c r="P304" s="167" t="str">
        <f>HYPERLINK("https://my.pitchbook.com?c=167899-78T", "View company online")</f>
        <v>View company online</v>
      </c>
      <c r="Q304" s="156"/>
    </row>
    <row r="305" spans="2:17" hidden="1" x14ac:dyDescent="0.2">
      <c r="B305" s="159" t="s">
        <v>1574</v>
      </c>
      <c r="C305" s="159" t="s">
        <v>1575</v>
      </c>
      <c r="D305" s="160">
        <v>38</v>
      </c>
      <c r="E305" s="161" t="s">
        <v>799</v>
      </c>
      <c r="F305" s="159" t="s">
        <v>1576</v>
      </c>
      <c r="G305" s="162">
        <v>44348</v>
      </c>
      <c r="H305" s="163">
        <f t="shared" ref="H305:H368" si="6">YEAR(G305)</f>
        <v>2021</v>
      </c>
      <c r="I305" s="159" t="s">
        <v>807</v>
      </c>
      <c r="J305" s="160">
        <v>140</v>
      </c>
      <c r="K305" s="160">
        <v>178</v>
      </c>
      <c r="L305" s="164">
        <v>3.6</v>
      </c>
      <c r="M305" s="165">
        <f t="shared" ref="M305:M368" si="7">IFERROR(J305/L305," ")</f>
        <v>38.888888888888886</v>
      </c>
      <c r="N305" s="166" t="s">
        <v>1577</v>
      </c>
      <c r="O305" s="159" t="s">
        <v>949</v>
      </c>
      <c r="P305" s="167" t="str">
        <f>HYPERLINK("https://my.pitchbook.com?c=185201-20T", "View company online")</f>
        <v>View company online</v>
      </c>
      <c r="Q305" s="156"/>
    </row>
    <row r="306" spans="2:17" hidden="1" x14ac:dyDescent="0.2">
      <c r="B306" s="159" t="s">
        <v>1578</v>
      </c>
      <c r="C306" s="159" t="s">
        <v>1579</v>
      </c>
      <c r="D306" s="160">
        <v>38</v>
      </c>
      <c r="E306" s="161" t="s">
        <v>452</v>
      </c>
      <c r="F306" s="159" t="s">
        <v>1580</v>
      </c>
      <c r="G306" s="162">
        <v>44496</v>
      </c>
      <c r="H306" s="163">
        <f t="shared" si="6"/>
        <v>2021</v>
      </c>
      <c r="I306" s="159" t="s">
        <v>807</v>
      </c>
      <c r="J306" s="160">
        <v>54.68</v>
      </c>
      <c r="K306" s="160">
        <v>92.68</v>
      </c>
      <c r="L306" s="164">
        <v>4.3</v>
      </c>
      <c r="M306" s="165">
        <f t="shared" si="7"/>
        <v>12.716279069767442</v>
      </c>
      <c r="N306" s="166" t="s">
        <v>1581</v>
      </c>
      <c r="O306" s="159" t="s">
        <v>803</v>
      </c>
      <c r="P306" s="167" t="str">
        <f>HYPERLINK("https://my.pitchbook.com?c=182388-43T", "View company online")</f>
        <v>View company online</v>
      </c>
      <c r="Q306" s="156"/>
    </row>
    <row r="307" spans="2:17" hidden="1" x14ac:dyDescent="0.2">
      <c r="B307" s="159" t="s">
        <v>1582</v>
      </c>
      <c r="C307" s="159" t="s">
        <v>1583</v>
      </c>
      <c r="D307" s="160">
        <v>38.04</v>
      </c>
      <c r="E307" s="161" t="s">
        <v>826</v>
      </c>
      <c r="F307" s="159" t="s">
        <v>1584</v>
      </c>
      <c r="G307" s="162">
        <v>43780</v>
      </c>
      <c r="H307" s="163">
        <f t="shared" si="6"/>
        <v>2019</v>
      </c>
      <c r="I307" s="159" t="s">
        <v>807</v>
      </c>
      <c r="J307" s="160">
        <v>294.5</v>
      </c>
      <c r="K307" s="160">
        <v>332.54</v>
      </c>
      <c r="L307" s="164">
        <v>14.24</v>
      </c>
      <c r="M307" s="165">
        <f t="shared" si="7"/>
        <v>20.681179775280899</v>
      </c>
      <c r="N307" s="166" t="s">
        <v>1585</v>
      </c>
      <c r="O307" s="159" t="s">
        <v>838</v>
      </c>
      <c r="P307" s="167" t="str">
        <f>HYPERLINK("https://my.pitchbook.com?c=128332-27T", "View company online")</f>
        <v>View company online</v>
      </c>
      <c r="Q307" s="156"/>
    </row>
    <row r="308" spans="2:17" hidden="1" x14ac:dyDescent="0.2">
      <c r="B308" s="159" t="s">
        <v>1586</v>
      </c>
      <c r="C308" s="159" t="s">
        <v>1587</v>
      </c>
      <c r="D308" s="160">
        <v>39</v>
      </c>
      <c r="E308" s="161" t="s">
        <v>799</v>
      </c>
      <c r="F308" s="159" t="s">
        <v>1588</v>
      </c>
      <c r="G308" s="162">
        <v>43854</v>
      </c>
      <c r="H308" s="163">
        <f t="shared" si="6"/>
        <v>2020</v>
      </c>
      <c r="I308" s="159" t="s">
        <v>807</v>
      </c>
      <c r="J308" s="160">
        <v>61</v>
      </c>
      <c r="K308" s="160">
        <v>100</v>
      </c>
      <c r="L308" s="164">
        <v>4</v>
      </c>
      <c r="M308" s="165">
        <f t="shared" si="7"/>
        <v>15.25</v>
      </c>
      <c r="N308" s="166" t="s">
        <v>1589</v>
      </c>
      <c r="O308" s="159" t="s">
        <v>803</v>
      </c>
      <c r="P308" s="167" t="str">
        <f>HYPERLINK("https://my.pitchbook.com?c=130570-84T", "View company online")</f>
        <v>View company online</v>
      </c>
      <c r="Q308" s="156"/>
    </row>
    <row r="309" spans="2:17" hidden="1" x14ac:dyDescent="0.2">
      <c r="B309" s="159" t="s">
        <v>1590</v>
      </c>
      <c r="C309" s="159" t="s">
        <v>1591</v>
      </c>
      <c r="D309" s="160">
        <v>39.04</v>
      </c>
      <c r="E309" s="161" t="s">
        <v>799</v>
      </c>
      <c r="F309" s="159" t="s">
        <v>1592</v>
      </c>
      <c r="G309" s="162">
        <v>43846</v>
      </c>
      <c r="H309" s="163">
        <f t="shared" si="6"/>
        <v>2020</v>
      </c>
      <c r="I309" s="159" t="s">
        <v>801</v>
      </c>
      <c r="J309" s="160">
        <v>152.55000000000001</v>
      </c>
      <c r="K309" s="160">
        <v>191.59</v>
      </c>
      <c r="L309" s="164">
        <v>9.3000000000000007</v>
      </c>
      <c r="M309" s="165">
        <f t="shared" si="7"/>
        <v>16.403225806451612</v>
      </c>
      <c r="N309" s="166" t="s">
        <v>1593</v>
      </c>
      <c r="O309" s="159" t="s">
        <v>889</v>
      </c>
      <c r="P309" s="167" t="str">
        <f>HYPERLINK("https://my.pitchbook.com?c=131323-06T", "View company online")</f>
        <v>View company online</v>
      </c>
      <c r="Q309" s="156"/>
    </row>
    <row r="310" spans="2:17" hidden="1" x14ac:dyDescent="0.2">
      <c r="B310" s="159" t="s">
        <v>1594</v>
      </c>
      <c r="C310" s="159" t="s">
        <v>1595</v>
      </c>
      <c r="D310" s="160">
        <v>39.630000000000003</v>
      </c>
      <c r="E310" s="161" t="s">
        <v>799</v>
      </c>
      <c r="F310" s="159" t="s">
        <v>1596</v>
      </c>
      <c r="G310" s="162">
        <v>43775</v>
      </c>
      <c r="H310" s="163">
        <f t="shared" si="6"/>
        <v>2019</v>
      </c>
      <c r="I310" s="159" t="s">
        <v>801</v>
      </c>
      <c r="J310" s="160">
        <v>80.69</v>
      </c>
      <c r="K310" s="160">
        <v>107.11</v>
      </c>
      <c r="L310" s="164">
        <v>5.38</v>
      </c>
      <c r="M310" s="165">
        <f t="shared" si="7"/>
        <v>14.99814126394052</v>
      </c>
      <c r="N310" s="166" t="s">
        <v>1597</v>
      </c>
      <c r="O310" s="159" t="s">
        <v>1002</v>
      </c>
      <c r="P310" s="167" t="str">
        <f>HYPERLINK("https://my.pitchbook.com?c=125909-47T", "View company online")</f>
        <v>View company online</v>
      </c>
      <c r="Q310" s="156"/>
    </row>
    <row r="311" spans="2:17" hidden="1" x14ac:dyDescent="0.2">
      <c r="B311" s="159" t="s">
        <v>1598</v>
      </c>
      <c r="C311" s="159" t="s">
        <v>1599</v>
      </c>
      <c r="D311" s="160">
        <v>39.92</v>
      </c>
      <c r="E311" s="161" t="s">
        <v>452</v>
      </c>
      <c r="F311" s="159" t="s">
        <v>1600</v>
      </c>
      <c r="G311" s="162">
        <v>44186</v>
      </c>
      <c r="H311" s="163">
        <f t="shared" si="6"/>
        <v>2020</v>
      </c>
      <c r="I311" s="159" t="s">
        <v>801</v>
      </c>
      <c r="J311" s="160">
        <v>110.57</v>
      </c>
      <c r="K311" s="160">
        <v>150.49</v>
      </c>
      <c r="L311" s="164">
        <v>6.51</v>
      </c>
      <c r="M311" s="165">
        <f t="shared" si="7"/>
        <v>16.984639016897081</v>
      </c>
      <c r="N311" s="166" t="s">
        <v>1601</v>
      </c>
      <c r="O311" s="159" t="s">
        <v>838</v>
      </c>
      <c r="P311" s="167" t="str">
        <f>HYPERLINK("https://my.pitchbook.com?c=159049-36T", "View company online")</f>
        <v>View company online</v>
      </c>
      <c r="Q311" s="156"/>
    </row>
    <row r="312" spans="2:17" hidden="1" x14ac:dyDescent="0.2">
      <c r="B312" s="159" t="s">
        <v>1602</v>
      </c>
      <c r="C312" s="159" t="s">
        <v>1603</v>
      </c>
      <c r="D312" s="160">
        <v>40</v>
      </c>
      <c r="E312" s="161" t="s">
        <v>835</v>
      </c>
      <c r="F312" s="159" t="s">
        <v>1604</v>
      </c>
      <c r="G312" s="162">
        <v>44175</v>
      </c>
      <c r="H312" s="163">
        <f t="shared" si="6"/>
        <v>2020</v>
      </c>
      <c r="I312" s="159" t="s">
        <v>807</v>
      </c>
      <c r="J312" s="160">
        <v>340</v>
      </c>
      <c r="K312" s="160">
        <v>380</v>
      </c>
      <c r="L312" s="164">
        <v>15</v>
      </c>
      <c r="M312" s="165">
        <f t="shared" si="7"/>
        <v>22.666666666666668</v>
      </c>
      <c r="N312" s="166" t="s">
        <v>1605</v>
      </c>
      <c r="O312" s="159" t="s">
        <v>910</v>
      </c>
      <c r="P312" s="167" t="str">
        <f>HYPERLINK("https://my.pitchbook.com?c=160838-65T", "View company online")</f>
        <v>View company online</v>
      </c>
      <c r="Q312" s="156"/>
    </row>
    <row r="313" spans="2:17" hidden="1" x14ac:dyDescent="0.2">
      <c r="B313" s="159" t="s">
        <v>1602</v>
      </c>
      <c r="C313" s="159" t="s">
        <v>1603</v>
      </c>
      <c r="D313" s="160">
        <v>40</v>
      </c>
      <c r="E313" s="161" t="s">
        <v>979</v>
      </c>
      <c r="F313" s="159" t="s">
        <v>1604</v>
      </c>
      <c r="G313" s="162">
        <v>44358</v>
      </c>
      <c r="H313" s="163">
        <f t="shared" si="6"/>
        <v>2021</v>
      </c>
      <c r="I313" s="159" t="s">
        <v>807</v>
      </c>
      <c r="J313" s="160">
        <v>760</v>
      </c>
      <c r="K313" s="160">
        <v>800</v>
      </c>
      <c r="L313" s="164">
        <v>15</v>
      </c>
      <c r="M313" s="165">
        <f t="shared" si="7"/>
        <v>50.666666666666664</v>
      </c>
      <c r="N313" s="166" t="s">
        <v>1606</v>
      </c>
      <c r="O313" s="159" t="s">
        <v>910</v>
      </c>
      <c r="P313" s="167" t="str">
        <f>HYPERLINK("https://my.pitchbook.com?c=176496-49T", "View company online")</f>
        <v>View company online</v>
      </c>
      <c r="Q313" s="156"/>
    </row>
    <row r="314" spans="2:17" hidden="1" x14ac:dyDescent="0.2">
      <c r="B314" s="159" t="s">
        <v>1607</v>
      </c>
      <c r="C314" s="159" t="s">
        <v>1608</v>
      </c>
      <c r="D314" s="160">
        <v>40</v>
      </c>
      <c r="E314" s="161" t="s">
        <v>835</v>
      </c>
      <c r="F314" s="159" t="s">
        <v>1609</v>
      </c>
      <c r="G314" s="162">
        <v>44362</v>
      </c>
      <c r="H314" s="163">
        <f t="shared" si="6"/>
        <v>2021</v>
      </c>
      <c r="I314" s="159" t="s">
        <v>807</v>
      </c>
      <c r="J314" s="160">
        <v>160</v>
      </c>
      <c r="K314" s="160">
        <v>200</v>
      </c>
      <c r="L314" s="164">
        <v>30</v>
      </c>
      <c r="M314" s="165">
        <f t="shared" si="7"/>
        <v>5.333333333333333</v>
      </c>
      <c r="N314" s="166" t="s">
        <v>1610</v>
      </c>
      <c r="O314" s="159" t="s">
        <v>1197</v>
      </c>
      <c r="P314" s="167" t="str">
        <f>HYPERLINK("https://my.pitchbook.com?c=174407-05T", "View company online")</f>
        <v>View company online</v>
      </c>
      <c r="Q314" s="156"/>
    </row>
    <row r="315" spans="2:17" hidden="1" x14ac:dyDescent="0.2">
      <c r="B315" s="159" t="s">
        <v>1381</v>
      </c>
      <c r="C315" s="159" t="s">
        <v>1382</v>
      </c>
      <c r="D315" s="160">
        <v>40</v>
      </c>
      <c r="E315" s="161" t="s">
        <v>835</v>
      </c>
      <c r="F315" s="159" t="s">
        <v>1383</v>
      </c>
      <c r="G315" s="162">
        <v>43689</v>
      </c>
      <c r="H315" s="163">
        <f t="shared" si="6"/>
        <v>2019</v>
      </c>
      <c r="I315" s="159" t="s">
        <v>807</v>
      </c>
      <c r="J315" s="160">
        <v>165</v>
      </c>
      <c r="K315" s="160">
        <v>205</v>
      </c>
      <c r="L315" s="164">
        <v>60</v>
      </c>
      <c r="M315" s="165">
        <f t="shared" si="7"/>
        <v>2.75</v>
      </c>
      <c r="N315" s="166" t="s">
        <v>1611</v>
      </c>
      <c r="O315" s="159" t="s">
        <v>803</v>
      </c>
      <c r="P315" s="167" t="str">
        <f>HYPERLINK("https://my.pitchbook.com?c=122767-30T", "View company online")</f>
        <v>View company online</v>
      </c>
      <c r="Q315" s="156"/>
    </row>
    <row r="316" spans="2:17" hidden="1" x14ac:dyDescent="0.2">
      <c r="B316" s="159" t="s">
        <v>1612</v>
      </c>
      <c r="C316" s="159" t="s">
        <v>1613</v>
      </c>
      <c r="D316" s="160">
        <v>40</v>
      </c>
      <c r="E316" s="161" t="s">
        <v>835</v>
      </c>
      <c r="F316" s="159" t="s">
        <v>1614</v>
      </c>
      <c r="G316" s="162">
        <v>43349</v>
      </c>
      <c r="H316" s="163">
        <f t="shared" si="6"/>
        <v>2018</v>
      </c>
      <c r="I316" s="159" t="s">
        <v>807</v>
      </c>
      <c r="J316" s="160">
        <v>125</v>
      </c>
      <c r="K316" s="160">
        <v>165</v>
      </c>
      <c r="L316" s="164">
        <v>34.200000000000003</v>
      </c>
      <c r="M316" s="165">
        <f t="shared" si="7"/>
        <v>3.6549707602339176</v>
      </c>
      <c r="N316" s="166" t="s">
        <v>1615</v>
      </c>
      <c r="O316" s="159" t="s">
        <v>971</v>
      </c>
      <c r="P316" s="167" t="str">
        <f>HYPERLINK("https://my.pitchbook.com?c=111408-04T", "View company online")</f>
        <v>View company online</v>
      </c>
      <c r="Q316" s="156"/>
    </row>
    <row r="317" spans="2:17" hidden="1" x14ac:dyDescent="0.2">
      <c r="B317" s="159" t="s">
        <v>1616</v>
      </c>
      <c r="C317" s="159" t="s">
        <v>1617</v>
      </c>
      <c r="D317" s="160">
        <v>40</v>
      </c>
      <c r="E317" s="161" t="s">
        <v>1149</v>
      </c>
      <c r="F317" s="159" t="s">
        <v>1618</v>
      </c>
      <c r="G317" s="162">
        <v>43297</v>
      </c>
      <c r="H317" s="163">
        <f t="shared" si="6"/>
        <v>2018</v>
      </c>
      <c r="I317" s="159" t="s">
        <v>807</v>
      </c>
      <c r="J317" s="160">
        <v>885</v>
      </c>
      <c r="K317" s="160">
        <v>925</v>
      </c>
      <c r="L317" s="164">
        <v>144.56</v>
      </c>
      <c r="M317" s="165">
        <f t="shared" si="7"/>
        <v>6.1220254565578305</v>
      </c>
      <c r="N317" s="166" t="s">
        <v>1619</v>
      </c>
      <c r="O317" s="159" t="s">
        <v>1138</v>
      </c>
      <c r="P317" s="167" t="str">
        <f>HYPERLINK("https://my.pitchbook.com?c=109001-53T", "View company online")</f>
        <v>View company online</v>
      </c>
      <c r="Q317" s="156"/>
    </row>
    <row r="318" spans="2:17" hidden="1" x14ac:dyDescent="0.2">
      <c r="B318" s="159" t="s">
        <v>1620</v>
      </c>
      <c r="C318" s="159" t="s">
        <v>1621</v>
      </c>
      <c r="D318" s="160">
        <v>40</v>
      </c>
      <c r="E318" s="161" t="s">
        <v>799</v>
      </c>
      <c r="F318" s="159" t="s">
        <v>1622</v>
      </c>
      <c r="G318" s="162">
        <v>44322</v>
      </c>
      <c r="H318" s="163">
        <f t="shared" si="6"/>
        <v>2021</v>
      </c>
      <c r="I318" s="159" t="s">
        <v>807</v>
      </c>
      <c r="J318" s="160">
        <v>200</v>
      </c>
      <c r="K318" s="160">
        <v>240</v>
      </c>
      <c r="L318" s="164">
        <v>10</v>
      </c>
      <c r="M318" s="165">
        <f t="shared" si="7"/>
        <v>20</v>
      </c>
      <c r="N318" s="166" t="s">
        <v>1623</v>
      </c>
      <c r="O318" s="159" t="s">
        <v>1002</v>
      </c>
      <c r="P318" s="167" t="str">
        <f>HYPERLINK("https://my.pitchbook.com?c=171716-59T", "View company online")</f>
        <v>View company online</v>
      </c>
      <c r="Q318" s="156"/>
    </row>
    <row r="319" spans="2:17" hidden="1" x14ac:dyDescent="0.2">
      <c r="B319" s="159" t="s">
        <v>1624</v>
      </c>
      <c r="C319" s="159" t="s">
        <v>1625</v>
      </c>
      <c r="D319" s="160">
        <v>40.299999999999997</v>
      </c>
      <c r="E319" s="161" t="s">
        <v>835</v>
      </c>
      <c r="F319" s="159" t="s">
        <v>1626</v>
      </c>
      <c r="G319" s="162">
        <v>43452</v>
      </c>
      <c r="H319" s="163">
        <f t="shared" si="6"/>
        <v>2018</v>
      </c>
      <c r="I319" s="159" t="s">
        <v>807</v>
      </c>
      <c r="J319" s="160">
        <v>75.36</v>
      </c>
      <c r="K319" s="160">
        <v>96.92</v>
      </c>
      <c r="L319" s="164">
        <v>15.66</v>
      </c>
      <c r="M319" s="165">
        <f t="shared" si="7"/>
        <v>4.8122605363984672</v>
      </c>
      <c r="N319" s="166" t="s">
        <v>1627</v>
      </c>
      <c r="O319" s="159" t="s">
        <v>1002</v>
      </c>
      <c r="P319" s="167" t="str">
        <f>HYPERLINK("https://my.pitchbook.com?c=114712-12T", "View company online")</f>
        <v>View company online</v>
      </c>
      <c r="Q319" s="156"/>
    </row>
    <row r="320" spans="2:17" hidden="1" x14ac:dyDescent="0.2">
      <c r="B320" s="159" t="s">
        <v>1628</v>
      </c>
      <c r="C320" s="159" t="s">
        <v>1629</v>
      </c>
      <c r="D320" s="160">
        <v>40.5</v>
      </c>
      <c r="E320" s="161" t="s">
        <v>826</v>
      </c>
      <c r="F320" s="159" t="s">
        <v>1630</v>
      </c>
      <c r="G320" s="162">
        <v>43453</v>
      </c>
      <c r="H320" s="163">
        <f t="shared" si="6"/>
        <v>2018</v>
      </c>
      <c r="I320" s="159" t="s">
        <v>807</v>
      </c>
      <c r="J320" s="160">
        <v>800</v>
      </c>
      <c r="K320" s="160">
        <v>840.5</v>
      </c>
      <c r="L320" s="164">
        <v>78.81</v>
      </c>
      <c r="M320" s="165">
        <f t="shared" si="7"/>
        <v>10.150996066489023</v>
      </c>
      <c r="N320" s="166" t="s">
        <v>1631</v>
      </c>
      <c r="O320" s="159" t="s">
        <v>803</v>
      </c>
      <c r="P320" s="167" t="str">
        <f>HYPERLINK("https://my.pitchbook.com?c=114781-15T", "View company online")</f>
        <v>View company online</v>
      </c>
      <c r="Q320" s="156"/>
    </row>
    <row r="321" spans="2:17" hidden="1" x14ac:dyDescent="0.2">
      <c r="B321" s="159" t="s">
        <v>1632</v>
      </c>
      <c r="C321" s="159" t="s">
        <v>1633</v>
      </c>
      <c r="D321" s="160">
        <v>40.630000000000003</v>
      </c>
      <c r="E321" s="161" t="s">
        <v>816</v>
      </c>
      <c r="F321" s="159" t="s">
        <v>1634</v>
      </c>
      <c r="G321" s="162">
        <v>43929</v>
      </c>
      <c r="H321" s="163">
        <f t="shared" si="6"/>
        <v>2020</v>
      </c>
      <c r="I321" s="159" t="s">
        <v>807</v>
      </c>
      <c r="J321" s="160">
        <v>249.57</v>
      </c>
      <c r="K321" s="160">
        <v>290.2</v>
      </c>
      <c r="L321" s="164">
        <v>7.38</v>
      </c>
      <c r="M321" s="165">
        <f t="shared" si="7"/>
        <v>33.81707317073171</v>
      </c>
      <c r="N321" s="166" t="s">
        <v>1635</v>
      </c>
      <c r="O321" s="159" t="s">
        <v>971</v>
      </c>
      <c r="P321" s="167" t="str">
        <f>HYPERLINK("https://my.pitchbook.com?c=134729-38T", "View company online")</f>
        <v>View company online</v>
      </c>
      <c r="Q321" s="156"/>
    </row>
    <row r="322" spans="2:17" hidden="1" x14ac:dyDescent="0.2">
      <c r="B322" s="159" t="s">
        <v>1636</v>
      </c>
      <c r="C322" s="159" t="s">
        <v>1637</v>
      </c>
      <c r="D322" s="160">
        <v>40.729999999999997</v>
      </c>
      <c r="E322" s="161" t="s">
        <v>452</v>
      </c>
      <c r="F322" s="159" t="s">
        <v>1638</v>
      </c>
      <c r="G322" s="162">
        <v>44013</v>
      </c>
      <c r="H322" s="163">
        <f t="shared" si="6"/>
        <v>2020</v>
      </c>
      <c r="I322" s="159" t="s">
        <v>807</v>
      </c>
      <c r="J322" s="160">
        <v>94.51</v>
      </c>
      <c r="K322" s="160">
        <v>135.24</v>
      </c>
      <c r="L322" s="164">
        <v>13.11</v>
      </c>
      <c r="M322" s="165">
        <f t="shared" si="7"/>
        <v>7.2090007627765074</v>
      </c>
      <c r="N322" s="166" t="s">
        <v>1639</v>
      </c>
      <c r="O322" s="159" t="s">
        <v>838</v>
      </c>
      <c r="P322" s="167" t="str">
        <f>HYPERLINK("https://my.pitchbook.com?c=160433-92T", "View company online")</f>
        <v>View company online</v>
      </c>
      <c r="Q322" s="156"/>
    </row>
    <row r="323" spans="2:17" hidden="1" x14ac:dyDescent="0.2">
      <c r="B323" s="159" t="s">
        <v>1094</v>
      </c>
      <c r="C323" s="159" t="s">
        <v>1095</v>
      </c>
      <c r="D323" s="160">
        <v>40.75</v>
      </c>
      <c r="E323" s="161" t="s">
        <v>835</v>
      </c>
      <c r="F323" s="159" t="s">
        <v>1096</v>
      </c>
      <c r="G323" s="162">
        <v>44511</v>
      </c>
      <c r="H323" s="163">
        <f t="shared" si="6"/>
        <v>2021</v>
      </c>
      <c r="I323" s="159" t="s">
        <v>807</v>
      </c>
      <c r="J323" s="160">
        <v>171.87</v>
      </c>
      <c r="K323" s="160">
        <v>199.21</v>
      </c>
      <c r="L323" s="164">
        <v>13.14</v>
      </c>
      <c r="M323" s="165">
        <f t="shared" si="7"/>
        <v>13.079908675799086</v>
      </c>
      <c r="N323" s="166" t="s">
        <v>1640</v>
      </c>
      <c r="O323" s="159" t="s">
        <v>803</v>
      </c>
      <c r="P323" s="167" t="str">
        <f>HYPERLINK("https://my.pitchbook.com?c=183296-89T", "View company online")</f>
        <v>View company online</v>
      </c>
      <c r="Q323" s="156"/>
    </row>
    <row r="324" spans="2:17" hidden="1" x14ac:dyDescent="0.2">
      <c r="B324" s="159" t="s">
        <v>1641</v>
      </c>
      <c r="C324" s="159" t="s">
        <v>1642</v>
      </c>
      <c r="D324" s="160">
        <v>41.15</v>
      </c>
      <c r="E324" s="161" t="s">
        <v>799</v>
      </c>
      <c r="F324" s="159" t="s">
        <v>1643</v>
      </c>
      <c r="G324" s="162">
        <v>43481</v>
      </c>
      <c r="H324" s="163">
        <f t="shared" si="6"/>
        <v>2019</v>
      </c>
      <c r="I324" s="159" t="s">
        <v>807</v>
      </c>
      <c r="J324" s="160">
        <v>99.98</v>
      </c>
      <c r="K324" s="160">
        <v>141.12</v>
      </c>
      <c r="L324" s="164">
        <v>4.8600000000000003</v>
      </c>
      <c r="M324" s="165">
        <f t="shared" si="7"/>
        <v>20.572016460905349</v>
      </c>
      <c r="N324" s="166" t="s">
        <v>1644</v>
      </c>
      <c r="O324" s="159" t="s">
        <v>1002</v>
      </c>
      <c r="P324" s="167" t="str">
        <f>HYPERLINK("https://my.pitchbook.com?c=115653-34T", "View company online")</f>
        <v>View company online</v>
      </c>
      <c r="Q324" s="156"/>
    </row>
    <row r="325" spans="2:17" hidden="1" x14ac:dyDescent="0.2">
      <c r="B325" s="159" t="s">
        <v>1645</v>
      </c>
      <c r="C325" s="159" t="s">
        <v>1646</v>
      </c>
      <c r="D325" s="160">
        <v>42</v>
      </c>
      <c r="E325" s="161" t="s">
        <v>799</v>
      </c>
      <c r="F325" s="159" t="s">
        <v>1647</v>
      </c>
      <c r="G325" s="162">
        <v>43903</v>
      </c>
      <c r="H325" s="163">
        <f t="shared" si="6"/>
        <v>2020</v>
      </c>
      <c r="I325" s="159" t="s">
        <v>807</v>
      </c>
      <c r="J325" s="160">
        <v>128.03</v>
      </c>
      <c r="K325" s="160">
        <v>170.03</v>
      </c>
      <c r="L325" s="164">
        <v>4.04</v>
      </c>
      <c r="M325" s="165">
        <f t="shared" si="7"/>
        <v>31.690594059405942</v>
      </c>
      <c r="N325" s="166" t="s">
        <v>1648</v>
      </c>
      <c r="O325" s="159" t="s">
        <v>803</v>
      </c>
      <c r="P325" s="167" t="str">
        <f>HYPERLINK("https://my.pitchbook.com?c=126350-29T", "View company online")</f>
        <v>View company online</v>
      </c>
      <c r="Q325" s="156"/>
    </row>
    <row r="326" spans="2:17" hidden="1" x14ac:dyDescent="0.2">
      <c r="B326" s="159" t="s">
        <v>1649</v>
      </c>
      <c r="C326" s="159" t="s">
        <v>1650</v>
      </c>
      <c r="D326" s="160">
        <v>42.36</v>
      </c>
      <c r="E326" s="161" t="s">
        <v>1651</v>
      </c>
      <c r="F326" s="159" t="s">
        <v>1652</v>
      </c>
      <c r="G326" s="162">
        <v>43973</v>
      </c>
      <c r="H326" s="163">
        <f t="shared" si="6"/>
        <v>2020</v>
      </c>
      <c r="I326" s="159" t="s">
        <v>807</v>
      </c>
      <c r="J326" s="160">
        <v>475.22</v>
      </c>
      <c r="K326" s="160">
        <v>517.58000000000004</v>
      </c>
      <c r="L326" s="164">
        <v>41.98</v>
      </c>
      <c r="M326" s="165">
        <f t="shared" si="7"/>
        <v>11.32015245354931</v>
      </c>
      <c r="N326" s="166" t="s">
        <v>1653</v>
      </c>
      <c r="O326" s="159" t="s">
        <v>823</v>
      </c>
      <c r="P326" s="167" t="str">
        <f>HYPERLINK("https://my.pitchbook.com?c=137435-23T", "View company online")</f>
        <v>View company online</v>
      </c>
      <c r="Q326" s="156"/>
    </row>
    <row r="327" spans="2:17" hidden="1" x14ac:dyDescent="0.2">
      <c r="B327" s="159" t="s">
        <v>1654</v>
      </c>
      <c r="C327" s="159" t="s">
        <v>1655</v>
      </c>
      <c r="D327" s="160">
        <v>43</v>
      </c>
      <c r="E327" s="161" t="s">
        <v>1170</v>
      </c>
      <c r="F327" s="159" t="s">
        <v>1656</v>
      </c>
      <c r="G327" s="162">
        <v>43978</v>
      </c>
      <c r="H327" s="163">
        <f t="shared" si="6"/>
        <v>2020</v>
      </c>
      <c r="I327" s="159" t="s">
        <v>807</v>
      </c>
      <c r="J327" s="160">
        <v>299.99</v>
      </c>
      <c r="K327" s="160">
        <v>342.99</v>
      </c>
      <c r="L327" s="164">
        <v>11.8</v>
      </c>
      <c r="M327" s="165">
        <f t="shared" si="7"/>
        <v>25.422881355932201</v>
      </c>
      <c r="N327" s="166" t="s">
        <v>1657</v>
      </c>
      <c r="O327" s="159" t="s">
        <v>809</v>
      </c>
      <c r="P327" s="167" t="str">
        <f>HYPERLINK("https://my.pitchbook.com?c=137848-33T", "View company online")</f>
        <v>View company online</v>
      </c>
      <c r="Q327" s="156"/>
    </row>
    <row r="328" spans="2:17" hidden="1" x14ac:dyDescent="0.2">
      <c r="B328" s="159" t="s">
        <v>844</v>
      </c>
      <c r="C328" s="159" t="s">
        <v>845</v>
      </c>
      <c r="D328" s="160">
        <v>43.19</v>
      </c>
      <c r="E328" s="161" t="s">
        <v>835</v>
      </c>
      <c r="F328" s="159" t="s">
        <v>846</v>
      </c>
      <c r="G328" s="162">
        <v>44047</v>
      </c>
      <c r="H328" s="163">
        <f t="shared" si="6"/>
        <v>2020</v>
      </c>
      <c r="I328" s="159" t="s">
        <v>807</v>
      </c>
      <c r="J328" s="160">
        <v>155.21</v>
      </c>
      <c r="K328" s="160">
        <v>198.4</v>
      </c>
      <c r="L328" s="164">
        <v>20</v>
      </c>
      <c r="M328" s="165">
        <f t="shared" si="7"/>
        <v>7.7605000000000004</v>
      </c>
      <c r="N328" s="166" t="s">
        <v>1658</v>
      </c>
      <c r="O328" s="159" t="s">
        <v>848</v>
      </c>
      <c r="P328" s="167" t="str">
        <f>HYPERLINK("https://my.pitchbook.com?c=159744-07T", "View company online")</f>
        <v>View company online</v>
      </c>
      <c r="Q328" s="156"/>
    </row>
    <row r="329" spans="2:17" hidden="1" x14ac:dyDescent="0.2">
      <c r="B329" s="159" t="s">
        <v>1659</v>
      </c>
      <c r="C329" s="159" t="s">
        <v>1660</v>
      </c>
      <c r="D329" s="160">
        <v>43.55</v>
      </c>
      <c r="E329" s="161" t="s">
        <v>799</v>
      </c>
      <c r="F329" s="159" t="s">
        <v>1661</v>
      </c>
      <c r="G329" s="162">
        <v>44400</v>
      </c>
      <c r="H329" s="163">
        <f t="shared" si="6"/>
        <v>2021</v>
      </c>
      <c r="I329" s="159" t="s">
        <v>807</v>
      </c>
      <c r="J329" s="160">
        <v>141.76</v>
      </c>
      <c r="K329" s="160">
        <v>185.31</v>
      </c>
      <c r="L329" s="164">
        <v>5</v>
      </c>
      <c r="M329" s="165">
        <f t="shared" si="7"/>
        <v>28.351999999999997</v>
      </c>
      <c r="N329" s="166" t="s">
        <v>1662</v>
      </c>
      <c r="O329" s="159" t="s">
        <v>966</v>
      </c>
      <c r="P329" s="167" t="str">
        <f>HYPERLINK("https://my.pitchbook.com?c=177429-34T", "View company online")</f>
        <v>View company online</v>
      </c>
      <c r="Q329" s="156"/>
    </row>
    <row r="330" spans="2:17" hidden="1" x14ac:dyDescent="0.2">
      <c r="B330" s="159" t="s">
        <v>1663</v>
      </c>
      <c r="C330" s="159" t="s">
        <v>1664</v>
      </c>
      <c r="D330" s="160">
        <v>44</v>
      </c>
      <c r="E330" s="161" t="s">
        <v>799</v>
      </c>
      <c r="F330" s="159" t="s">
        <v>1665</v>
      </c>
      <c r="G330" s="162">
        <v>43732</v>
      </c>
      <c r="H330" s="163">
        <f t="shared" si="6"/>
        <v>2019</v>
      </c>
      <c r="I330" s="159" t="s">
        <v>807</v>
      </c>
      <c r="J330" s="160">
        <v>210</v>
      </c>
      <c r="K330" s="160">
        <v>254</v>
      </c>
      <c r="L330" s="164">
        <v>15</v>
      </c>
      <c r="M330" s="165">
        <f t="shared" si="7"/>
        <v>14</v>
      </c>
      <c r="N330" s="166" t="s">
        <v>1666</v>
      </c>
      <c r="O330" s="159" t="s">
        <v>803</v>
      </c>
      <c r="P330" s="167" t="str">
        <f>HYPERLINK("https://my.pitchbook.com?c=123824-98T", "View company online")</f>
        <v>View company online</v>
      </c>
      <c r="Q330" s="156"/>
    </row>
    <row r="331" spans="2:17" hidden="1" x14ac:dyDescent="0.2">
      <c r="B331" s="159" t="s">
        <v>1667</v>
      </c>
      <c r="C331" s="159" t="s">
        <v>1668</v>
      </c>
      <c r="D331" s="160">
        <v>44</v>
      </c>
      <c r="E331" s="161" t="s">
        <v>835</v>
      </c>
      <c r="F331" s="159" t="s">
        <v>1669</v>
      </c>
      <c r="G331" s="162">
        <v>43964</v>
      </c>
      <c r="H331" s="163">
        <f t="shared" si="6"/>
        <v>2020</v>
      </c>
      <c r="I331" s="159" t="s">
        <v>807</v>
      </c>
      <c r="J331" s="160">
        <v>206</v>
      </c>
      <c r="K331" s="160">
        <v>250</v>
      </c>
      <c r="L331" s="164">
        <v>22</v>
      </c>
      <c r="M331" s="165">
        <f t="shared" si="7"/>
        <v>9.3636363636363633</v>
      </c>
      <c r="N331" s="166" t="s">
        <v>1670</v>
      </c>
      <c r="O331" s="159" t="s">
        <v>803</v>
      </c>
      <c r="P331" s="167" t="str">
        <f>HYPERLINK("https://my.pitchbook.com?c=123063-49T", "View company online")</f>
        <v>View company online</v>
      </c>
      <c r="Q331" s="156"/>
    </row>
    <row r="332" spans="2:17" hidden="1" x14ac:dyDescent="0.2">
      <c r="B332" s="159" t="s">
        <v>1312</v>
      </c>
      <c r="C332" s="159" t="s">
        <v>1313</v>
      </c>
      <c r="D332" s="160">
        <v>44.16</v>
      </c>
      <c r="E332" s="161" t="s">
        <v>835</v>
      </c>
      <c r="F332" s="159" t="s">
        <v>1314</v>
      </c>
      <c r="G332" s="162">
        <v>43558</v>
      </c>
      <c r="H332" s="163">
        <f t="shared" si="6"/>
        <v>2019</v>
      </c>
      <c r="I332" s="159" t="s">
        <v>807</v>
      </c>
      <c r="J332" s="160">
        <v>180.74</v>
      </c>
      <c r="K332" s="160">
        <v>224.9</v>
      </c>
      <c r="L332" s="164">
        <v>12.35</v>
      </c>
      <c r="M332" s="165">
        <f t="shared" si="7"/>
        <v>14.634817813765183</v>
      </c>
      <c r="N332" s="166" t="s">
        <v>1671</v>
      </c>
      <c r="O332" s="159" t="s">
        <v>803</v>
      </c>
      <c r="P332" s="167" t="str">
        <f>HYPERLINK("https://my.pitchbook.com?c=117882-82T", "View company online")</f>
        <v>View company online</v>
      </c>
      <c r="Q332" s="156"/>
    </row>
    <row r="333" spans="2:17" hidden="1" x14ac:dyDescent="0.2">
      <c r="B333" s="159" t="s">
        <v>1672</v>
      </c>
      <c r="C333" s="159" t="s">
        <v>1673</v>
      </c>
      <c r="D333" s="160">
        <v>44.3</v>
      </c>
      <c r="E333" s="161" t="s">
        <v>826</v>
      </c>
      <c r="F333" s="159" t="s">
        <v>1674</v>
      </c>
      <c r="G333" s="162">
        <v>43105</v>
      </c>
      <c r="H333" s="163">
        <f t="shared" si="6"/>
        <v>2018</v>
      </c>
      <c r="I333" s="159" t="s">
        <v>807</v>
      </c>
      <c r="J333" s="160">
        <v>251.01</v>
      </c>
      <c r="K333" s="160">
        <v>295.31</v>
      </c>
      <c r="L333" s="164">
        <v>37.9</v>
      </c>
      <c r="M333" s="165">
        <f t="shared" si="7"/>
        <v>6.6229551451187332</v>
      </c>
      <c r="N333" s="166" t="s">
        <v>1675</v>
      </c>
      <c r="O333" s="159" t="s">
        <v>1676</v>
      </c>
      <c r="P333" s="167" t="str">
        <f>HYPERLINK("https://my.pitchbook.com?c=115389-01T", "View company online")</f>
        <v>View company online</v>
      </c>
      <c r="Q333" s="156"/>
    </row>
    <row r="334" spans="2:17" hidden="1" x14ac:dyDescent="0.2">
      <c r="B334" s="159" t="s">
        <v>1677</v>
      </c>
      <c r="C334" s="159" t="s">
        <v>1678</v>
      </c>
      <c r="D334" s="160">
        <v>45</v>
      </c>
      <c r="E334" s="161" t="s">
        <v>826</v>
      </c>
      <c r="F334" s="159" t="s">
        <v>1679</v>
      </c>
      <c r="G334" s="162">
        <v>43244</v>
      </c>
      <c r="H334" s="163">
        <f t="shared" si="6"/>
        <v>2018</v>
      </c>
      <c r="I334" s="159" t="s">
        <v>807</v>
      </c>
      <c r="J334" s="160">
        <v>380</v>
      </c>
      <c r="K334" s="160">
        <v>425</v>
      </c>
      <c r="L334" s="164">
        <v>13.5</v>
      </c>
      <c r="M334" s="165">
        <f t="shared" si="7"/>
        <v>28.148148148148149</v>
      </c>
      <c r="N334" s="166" t="s">
        <v>1680</v>
      </c>
      <c r="O334" s="159" t="s">
        <v>889</v>
      </c>
      <c r="P334" s="167" t="str">
        <f>HYPERLINK("https://my.pitchbook.com?c=106350-76T", "View company online")</f>
        <v>View company online</v>
      </c>
      <c r="Q334" s="156"/>
    </row>
    <row r="335" spans="2:17" hidden="1" x14ac:dyDescent="0.2">
      <c r="B335" s="159" t="s">
        <v>1681</v>
      </c>
      <c r="C335" s="159" t="s">
        <v>1682</v>
      </c>
      <c r="D335" s="160">
        <v>45</v>
      </c>
      <c r="E335" s="161" t="s">
        <v>816</v>
      </c>
      <c r="F335" s="159" t="s">
        <v>1683</v>
      </c>
      <c r="G335" s="162">
        <v>43679</v>
      </c>
      <c r="H335" s="163">
        <f t="shared" si="6"/>
        <v>2019</v>
      </c>
      <c r="I335" s="159" t="s">
        <v>807</v>
      </c>
      <c r="J335" s="160">
        <v>300</v>
      </c>
      <c r="K335" s="160">
        <v>345</v>
      </c>
      <c r="L335" s="164">
        <v>10</v>
      </c>
      <c r="M335" s="165">
        <f t="shared" si="7"/>
        <v>30</v>
      </c>
      <c r="N335" s="166" t="s">
        <v>1684</v>
      </c>
      <c r="O335" s="159" t="s">
        <v>803</v>
      </c>
      <c r="P335" s="167" t="str">
        <f>HYPERLINK("https://my.pitchbook.com?c=117047-35T", "View company online")</f>
        <v>View company online</v>
      </c>
      <c r="Q335" s="156"/>
    </row>
    <row r="336" spans="2:17" hidden="1" x14ac:dyDescent="0.2">
      <c r="B336" s="159" t="s">
        <v>1685</v>
      </c>
      <c r="C336" s="159" t="s">
        <v>1686</v>
      </c>
      <c r="D336" s="160">
        <v>45</v>
      </c>
      <c r="E336" s="161" t="s">
        <v>826</v>
      </c>
      <c r="F336" s="159" t="s">
        <v>1687</v>
      </c>
      <c r="G336" s="162">
        <v>44026</v>
      </c>
      <c r="H336" s="163">
        <f t="shared" si="6"/>
        <v>2020</v>
      </c>
      <c r="I336" s="159" t="s">
        <v>807</v>
      </c>
      <c r="J336" s="160">
        <v>400</v>
      </c>
      <c r="K336" s="160">
        <v>445</v>
      </c>
      <c r="L336" s="164">
        <v>50</v>
      </c>
      <c r="M336" s="165">
        <f t="shared" si="7"/>
        <v>8</v>
      </c>
      <c r="N336" s="166" t="s">
        <v>1688</v>
      </c>
      <c r="O336" s="159" t="s">
        <v>803</v>
      </c>
      <c r="P336" s="167" t="str">
        <f>HYPERLINK("https://my.pitchbook.com?c=139610-71T", "View company online")</f>
        <v>View company online</v>
      </c>
      <c r="Q336" s="156"/>
    </row>
    <row r="337" spans="2:17" hidden="1" x14ac:dyDescent="0.2">
      <c r="B337" s="159" t="s">
        <v>1689</v>
      </c>
      <c r="C337" s="159" t="s">
        <v>1690</v>
      </c>
      <c r="D337" s="160">
        <v>45</v>
      </c>
      <c r="E337" s="161" t="s">
        <v>816</v>
      </c>
      <c r="F337" s="159" t="s">
        <v>1691</v>
      </c>
      <c r="G337" s="162">
        <v>43763</v>
      </c>
      <c r="H337" s="163">
        <f t="shared" si="6"/>
        <v>2019</v>
      </c>
      <c r="I337" s="159" t="s">
        <v>807</v>
      </c>
      <c r="J337" s="160">
        <v>702.51</v>
      </c>
      <c r="K337" s="160">
        <v>747.51</v>
      </c>
      <c r="L337" s="164">
        <v>182.93</v>
      </c>
      <c r="M337" s="165">
        <f t="shared" si="7"/>
        <v>3.8403214344284695</v>
      </c>
      <c r="N337" s="166" t="s">
        <v>1692</v>
      </c>
      <c r="O337" s="159" t="s">
        <v>803</v>
      </c>
      <c r="P337" s="167" t="str">
        <f>HYPERLINK("https://my.pitchbook.com?c=156875-32T", "View company online")</f>
        <v>View company online</v>
      </c>
      <c r="Q337" s="156"/>
    </row>
    <row r="338" spans="2:17" hidden="1" x14ac:dyDescent="0.2">
      <c r="B338" s="159" t="s">
        <v>1693</v>
      </c>
      <c r="C338" s="159" t="s">
        <v>1694</v>
      </c>
      <c r="D338" s="160">
        <v>45.38</v>
      </c>
      <c r="E338" s="161" t="s">
        <v>1170</v>
      </c>
      <c r="F338" s="159" t="s">
        <v>1695</v>
      </c>
      <c r="G338" s="162">
        <v>44166</v>
      </c>
      <c r="H338" s="163">
        <f t="shared" si="6"/>
        <v>2020</v>
      </c>
      <c r="I338" s="159" t="s">
        <v>807</v>
      </c>
      <c r="J338" s="160">
        <v>650.48</v>
      </c>
      <c r="K338" s="160">
        <v>695.87</v>
      </c>
      <c r="L338" s="164">
        <v>37.630000000000003</v>
      </c>
      <c r="M338" s="165">
        <f t="shared" si="7"/>
        <v>17.286207812915226</v>
      </c>
      <c r="N338" s="166" t="s">
        <v>1696</v>
      </c>
      <c r="O338" s="159" t="s">
        <v>889</v>
      </c>
      <c r="P338" s="167" t="str">
        <f>HYPERLINK("https://my.pitchbook.com?c=165802-96T", "View company online")</f>
        <v>View company online</v>
      </c>
      <c r="Q338" s="156"/>
    </row>
    <row r="339" spans="2:17" hidden="1" x14ac:dyDescent="0.2">
      <c r="B339" s="159" t="s">
        <v>1697</v>
      </c>
      <c r="C339" s="159" t="s">
        <v>1698</v>
      </c>
      <c r="D339" s="160">
        <v>46.17</v>
      </c>
      <c r="E339" s="161" t="s">
        <v>452</v>
      </c>
      <c r="F339" s="159" t="s">
        <v>1699</v>
      </c>
      <c r="G339" s="162">
        <v>44316</v>
      </c>
      <c r="H339" s="163">
        <f t="shared" si="6"/>
        <v>2021</v>
      </c>
      <c r="I339" s="159" t="s">
        <v>807</v>
      </c>
      <c r="J339" s="160">
        <v>137.84</v>
      </c>
      <c r="K339" s="160">
        <v>172.51</v>
      </c>
      <c r="L339" s="164">
        <v>3.81</v>
      </c>
      <c r="M339" s="165">
        <f t="shared" si="7"/>
        <v>36.178477690288716</v>
      </c>
      <c r="N339" s="166" t="s">
        <v>1700</v>
      </c>
      <c r="O339" s="159" t="s">
        <v>976</v>
      </c>
      <c r="P339" s="167" t="str">
        <f>HYPERLINK("https://my.pitchbook.com?c=172032-67T", "View company online")</f>
        <v>View company online</v>
      </c>
      <c r="Q339" s="156"/>
    </row>
    <row r="340" spans="2:17" hidden="1" x14ac:dyDescent="0.2">
      <c r="B340" s="159" t="s">
        <v>1701</v>
      </c>
      <c r="C340" s="159" t="s">
        <v>1702</v>
      </c>
      <c r="D340" s="160">
        <v>47</v>
      </c>
      <c r="E340" s="161" t="s">
        <v>799</v>
      </c>
      <c r="F340" s="159" t="s">
        <v>1703</v>
      </c>
      <c r="G340" s="162">
        <v>43378</v>
      </c>
      <c r="H340" s="163">
        <f t="shared" si="6"/>
        <v>2018</v>
      </c>
      <c r="I340" s="159" t="s">
        <v>807</v>
      </c>
      <c r="J340" s="160">
        <v>122</v>
      </c>
      <c r="K340" s="160">
        <v>162.9</v>
      </c>
      <c r="L340" s="164">
        <v>66.5</v>
      </c>
      <c r="M340" s="165">
        <f t="shared" si="7"/>
        <v>1.8345864661654134</v>
      </c>
      <c r="N340" s="166" t="s">
        <v>1704</v>
      </c>
      <c r="O340" s="159" t="s">
        <v>1705</v>
      </c>
      <c r="P340" s="167" t="str">
        <f>HYPERLINK("https://my.pitchbook.com?c=112583-26T", "View company online")</f>
        <v>View company online</v>
      </c>
      <c r="Q340" s="156"/>
    </row>
    <row r="341" spans="2:17" hidden="1" x14ac:dyDescent="0.2">
      <c r="B341" s="159" t="s">
        <v>1706</v>
      </c>
      <c r="C341" s="159" t="s">
        <v>1707</v>
      </c>
      <c r="D341" s="160">
        <v>47.5</v>
      </c>
      <c r="E341" s="161" t="s">
        <v>799</v>
      </c>
      <c r="F341" s="159" t="s">
        <v>1708</v>
      </c>
      <c r="G341" s="162">
        <v>43661</v>
      </c>
      <c r="H341" s="163">
        <f t="shared" si="6"/>
        <v>2019</v>
      </c>
      <c r="I341" s="159" t="s">
        <v>807</v>
      </c>
      <c r="J341" s="160">
        <v>80</v>
      </c>
      <c r="K341" s="160">
        <v>127.5</v>
      </c>
      <c r="L341" s="164">
        <v>13.5</v>
      </c>
      <c r="M341" s="165">
        <f t="shared" si="7"/>
        <v>5.9259259259259256</v>
      </c>
      <c r="N341" s="166" t="s">
        <v>1709</v>
      </c>
      <c r="O341" s="159" t="s">
        <v>838</v>
      </c>
      <c r="P341" s="167" t="str">
        <f>HYPERLINK("https://my.pitchbook.com?c=120870-37T", "View company online")</f>
        <v>View company online</v>
      </c>
      <c r="Q341" s="156"/>
    </row>
    <row r="342" spans="2:17" hidden="1" x14ac:dyDescent="0.2">
      <c r="B342" s="159" t="s">
        <v>1710</v>
      </c>
      <c r="C342" s="159" t="s">
        <v>1711</v>
      </c>
      <c r="D342" s="160">
        <v>48</v>
      </c>
      <c r="E342" s="161" t="s">
        <v>826</v>
      </c>
      <c r="F342" s="159" t="s">
        <v>1712</v>
      </c>
      <c r="G342" s="162">
        <v>43735</v>
      </c>
      <c r="H342" s="163">
        <f t="shared" si="6"/>
        <v>2019</v>
      </c>
      <c r="I342" s="159" t="s">
        <v>807</v>
      </c>
      <c r="J342" s="160">
        <v>272</v>
      </c>
      <c r="K342" s="160">
        <v>320</v>
      </c>
      <c r="L342" s="164">
        <v>13.2</v>
      </c>
      <c r="M342" s="165">
        <f t="shared" si="7"/>
        <v>20.606060606060606</v>
      </c>
      <c r="N342" s="166" t="s">
        <v>1713</v>
      </c>
      <c r="O342" s="159" t="s">
        <v>1002</v>
      </c>
      <c r="P342" s="167" t="str">
        <f>HYPERLINK("https://my.pitchbook.com?c=124098-40T", "View company online")</f>
        <v>View company online</v>
      </c>
      <c r="Q342" s="156"/>
    </row>
    <row r="343" spans="2:17" hidden="1" x14ac:dyDescent="0.2">
      <c r="B343" s="159" t="s">
        <v>1714</v>
      </c>
      <c r="C343" s="159" t="s">
        <v>1715</v>
      </c>
      <c r="D343" s="160">
        <v>48</v>
      </c>
      <c r="E343" s="161" t="s">
        <v>826</v>
      </c>
      <c r="F343" s="159" t="s">
        <v>1716</v>
      </c>
      <c r="G343" s="162">
        <v>43529</v>
      </c>
      <c r="H343" s="163">
        <f t="shared" si="6"/>
        <v>2019</v>
      </c>
      <c r="I343" s="159" t="s">
        <v>807</v>
      </c>
      <c r="J343" s="160">
        <v>325</v>
      </c>
      <c r="K343" s="160">
        <v>355</v>
      </c>
      <c r="L343" s="164">
        <v>33.1</v>
      </c>
      <c r="M343" s="165">
        <f t="shared" si="7"/>
        <v>9.8187311178247736</v>
      </c>
      <c r="N343" s="166" t="s">
        <v>1717</v>
      </c>
      <c r="O343" s="159" t="s">
        <v>854</v>
      </c>
      <c r="P343" s="167" t="str">
        <f>HYPERLINK("https://my.pitchbook.com?c=105207-04T", "View company online")</f>
        <v>View company online</v>
      </c>
      <c r="Q343" s="156"/>
    </row>
    <row r="344" spans="2:17" hidden="1" x14ac:dyDescent="0.2">
      <c r="B344" s="159" t="s">
        <v>1718</v>
      </c>
      <c r="C344" s="159" t="s">
        <v>1719</v>
      </c>
      <c r="D344" s="160">
        <v>50</v>
      </c>
      <c r="E344" s="161" t="s">
        <v>835</v>
      </c>
      <c r="F344" s="159" t="s">
        <v>1720</v>
      </c>
      <c r="G344" s="162">
        <v>43965</v>
      </c>
      <c r="H344" s="163">
        <f t="shared" si="6"/>
        <v>2020</v>
      </c>
      <c r="I344" s="159" t="s">
        <v>807</v>
      </c>
      <c r="J344" s="160">
        <v>1150</v>
      </c>
      <c r="K344" s="160">
        <v>1200</v>
      </c>
      <c r="L344" s="164">
        <v>254.82</v>
      </c>
      <c r="M344" s="165">
        <f t="shared" si="7"/>
        <v>4.5129895612589284</v>
      </c>
      <c r="N344" s="166" t="s">
        <v>1721</v>
      </c>
      <c r="O344" s="159" t="s">
        <v>1138</v>
      </c>
      <c r="P344" s="167" t="str">
        <f>HYPERLINK("https://my.pitchbook.com?c=136518-22T", "View company online")</f>
        <v>View company online</v>
      </c>
      <c r="Q344" s="156"/>
    </row>
    <row r="345" spans="2:17" hidden="1" x14ac:dyDescent="0.2">
      <c r="B345" s="159" t="s">
        <v>1722</v>
      </c>
      <c r="C345" s="159" t="s">
        <v>1723</v>
      </c>
      <c r="D345" s="160">
        <v>50</v>
      </c>
      <c r="E345" s="161" t="s">
        <v>1170</v>
      </c>
      <c r="F345" s="159" t="s">
        <v>1724</v>
      </c>
      <c r="G345" s="162">
        <v>43433</v>
      </c>
      <c r="H345" s="163">
        <f t="shared" si="6"/>
        <v>2018</v>
      </c>
      <c r="I345" s="159" t="s">
        <v>807</v>
      </c>
      <c r="J345" s="160">
        <v>1450</v>
      </c>
      <c r="K345" s="160">
        <v>1500</v>
      </c>
      <c r="L345" s="164">
        <v>100</v>
      </c>
      <c r="M345" s="165">
        <f t="shared" si="7"/>
        <v>14.5</v>
      </c>
      <c r="N345" s="166" t="s">
        <v>1725</v>
      </c>
      <c r="O345" s="159" t="s">
        <v>803</v>
      </c>
      <c r="P345" s="167" t="str">
        <f>HYPERLINK("https://my.pitchbook.com?c=114201-73T", "View company online")</f>
        <v>View company online</v>
      </c>
      <c r="Q345" s="156"/>
    </row>
    <row r="346" spans="2:17" hidden="1" x14ac:dyDescent="0.2">
      <c r="B346" s="159" t="s">
        <v>1726</v>
      </c>
      <c r="C346" s="159" t="s">
        <v>1727</v>
      </c>
      <c r="D346" s="160">
        <v>50</v>
      </c>
      <c r="E346" s="161" t="s">
        <v>835</v>
      </c>
      <c r="F346" s="159" t="s">
        <v>1728</v>
      </c>
      <c r="G346" s="162">
        <v>43783</v>
      </c>
      <c r="H346" s="163">
        <f t="shared" si="6"/>
        <v>2019</v>
      </c>
      <c r="I346" s="159" t="s">
        <v>807</v>
      </c>
      <c r="J346" s="160">
        <v>250</v>
      </c>
      <c r="K346" s="160">
        <v>300</v>
      </c>
      <c r="L346" s="164">
        <v>10.4</v>
      </c>
      <c r="M346" s="165">
        <f t="shared" si="7"/>
        <v>24.038461538461537</v>
      </c>
      <c r="N346" s="166" t="s">
        <v>1729</v>
      </c>
      <c r="O346" s="159" t="s">
        <v>854</v>
      </c>
      <c r="P346" s="167" t="str">
        <f>HYPERLINK("https://my.pitchbook.com?c=126959-05T", "View company online")</f>
        <v>View company online</v>
      </c>
      <c r="Q346" s="156"/>
    </row>
    <row r="347" spans="2:17" hidden="1" x14ac:dyDescent="0.2">
      <c r="B347" s="159" t="s">
        <v>1325</v>
      </c>
      <c r="C347" s="159" t="s">
        <v>1326</v>
      </c>
      <c r="D347" s="160">
        <v>50</v>
      </c>
      <c r="E347" s="161" t="s">
        <v>835</v>
      </c>
      <c r="F347" s="159" t="s">
        <v>1327</v>
      </c>
      <c r="G347" s="162">
        <v>44026</v>
      </c>
      <c r="H347" s="163">
        <f t="shared" si="6"/>
        <v>2020</v>
      </c>
      <c r="I347" s="159" t="s">
        <v>807</v>
      </c>
      <c r="J347" s="160">
        <v>450</v>
      </c>
      <c r="K347" s="160">
        <v>500</v>
      </c>
      <c r="L347" s="164">
        <v>50</v>
      </c>
      <c r="M347" s="165">
        <f t="shared" si="7"/>
        <v>9</v>
      </c>
      <c r="N347" s="166" t="s">
        <v>1730</v>
      </c>
      <c r="O347" s="159" t="s">
        <v>803</v>
      </c>
      <c r="P347" s="167" t="str">
        <f>HYPERLINK("https://my.pitchbook.com?c=135053-29T", "View company online")</f>
        <v>View company online</v>
      </c>
      <c r="Q347" s="156"/>
    </row>
    <row r="348" spans="2:17" hidden="1" x14ac:dyDescent="0.2">
      <c r="B348" s="159" t="s">
        <v>1500</v>
      </c>
      <c r="C348" s="159" t="s">
        <v>1501</v>
      </c>
      <c r="D348" s="160">
        <v>50</v>
      </c>
      <c r="E348" s="161" t="s">
        <v>826</v>
      </c>
      <c r="F348" s="159" t="s">
        <v>1502</v>
      </c>
      <c r="G348" s="162">
        <v>43979</v>
      </c>
      <c r="H348" s="163">
        <f t="shared" si="6"/>
        <v>2020</v>
      </c>
      <c r="I348" s="159" t="s">
        <v>807</v>
      </c>
      <c r="J348" s="160">
        <v>850</v>
      </c>
      <c r="K348" s="160">
        <v>900</v>
      </c>
      <c r="L348" s="164">
        <v>21</v>
      </c>
      <c r="M348" s="165">
        <f t="shared" si="7"/>
        <v>40.476190476190474</v>
      </c>
      <c r="N348" s="166" t="s">
        <v>1731</v>
      </c>
      <c r="O348" s="159" t="s">
        <v>803</v>
      </c>
      <c r="P348" s="167" t="str">
        <f>HYPERLINK("https://my.pitchbook.com?c=137164-24T", "View company online")</f>
        <v>View company online</v>
      </c>
      <c r="Q348" s="156"/>
    </row>
    <row r="349" spans="2:17" hidden="1" x14ac:dyDescent="0.2">
      <c r="B349" s="159" t="s">
        <v>1147</v>
      </c>
      <c r="C349" s="159" t="s">
        <v>1148</v>
      </c>
      <c r="D349" s="160">
        <v>50</v>
      </c>
      <c r="E349" s="161" t="s">
        <v>1170</v>
      </c>
      <c r="F349" s="159" t="s">
        <v>1150</v>
      </c>
      <c r="G349" s="162">
        <v>43300</v>
      </c>
      <c r="H349" s="163">
        <f t="shared" si="6"/>
        <v>2018</v>
      </c>
      <c r="I349" s="159" t="s">
        <v>807</v>
      </c>
      <c r="J349" s="160">
        <v>570.84</v>
      </c>
      <c r="K349" s="160">
        <v>620.84</v>
      </c>
      <c r="L349" s="164">
        <v>76.83</v>
      </c>
      <c r="M349" s="165">
        <f t="shared" si="7"/>
        <v>7.429910191331512</v>
      </c>
      <c r="N349" s="166" t="s">
        <v>1732</v>
      </c>
      <c r="O349" s="159" t="s">
        <v>1152</v>
      </c>
      <c r="P349" s="167" t="str">
        <f>HYPERLINK("https://my.pitchbook.com?c=103634-11T", "View company online")</f>
        <v>View company online</v>
      </c>
      <c r="Q349" s="156"/>
    </row>
    <row r="350" spans="2:17" hidden="1" x14ac:dyDescent="0.2">
      <c r="B350" s="159" t="s">
        <v>1733</v>
      </c>
      <c r="C350" s="159" t="s">
        <v>1734</v>
      </c>
      <c r="D350" s="160">
        <v>50</v>
      </c>
      <c r="E350" s="161" t="s">
        <v>826</v>
      </c>
      <c r="F350" s="159" t="s">
        <v>1735</v>
      </c>
      <c r="G350" s="162">
        <v>43453</v>
      </c>
      <c r="H350" s="163">
        <f t="shared" si="6"/>
        <v>2018</v>
      </c>
      <c r="I350" s="159" t="s">
        <v>807</v>
      </c>
      <c r="J350" s="160">
        <v>750</v>
      </c>
      <c r="K350" s="160">
        <v>800</v>
      </c>
      <c r="L350" s="164">
        <v>80</v>
      </c>
      <c r="M350" s="165">
        <f t="shared" si="7"/>
        <v>9.375</v>
      </c>
      <c r="N350" s="166" t="s">
        <v>1736</v>
      </c>
      <c r="O350" s="159" t="s">
        <v>803</v>
      </c>
      <c r="P350" s="167" t="str">
        <f>HYPERLINK("https://my.pitchbook.com?c=114904-45T", "View company online")</f>
        <v>View company online</v>
      </c>
      <c r="Q350" s="156"/>
    </row>
    <row r="351" spans="2:17" hidden="1" x14ac:dyDescent="0.2">
      <c r="B351" s="159" t="s">
        <v>1737</v>
      </c>
      <c r="C351" s="159" t="s">
        <v>1738</v>
      </c>
      <c r="D351" s="160">
        <v>50</v>
      </c>
      <c r="E351" s="161" t="s">
        <v>835</v>
      </c>
      <c r="F351" s="159" t="s">
        <v>1739</v>
      </c>
      <c r="G351" s="162">
        <v>43741</v>
      </c>
      <c r="H351" s="163">
        <f t="shared" si="6"/>
        <v>2019</v>
      </c>
      <c r="I351" s="159" t="s">
        <v>807</v>
      </c>
      <c r="J351" s="160">
        <v>440</v>
      </c>
      <c r="K351" s="160">
        <v>490</v>
      </c>
      <c r="L351" s="164">
        <v>15</v>
      </c>
      <c r="M351" s="165">
        <f t="shared" si="7"/>
        <v>29.333333333333332</v>
      </c>
      <c r="N351" s="166" t="s">
        <v>1740</v>
      </c>
      <c r="O351" s="159" t="s">
        <v>803</v>
      </c>
      <c r="P351" s="167" t="str">
        <f>HYPERLINK("https://my.pitchbook.com?c=127052-20T", "View company online")</f>
        <v>View company online</v>
      </c>
      <c r="Q351" s="156"/>
    </row>
    <row r="352" spans="2:17" hidden="1" x14ac:dyDescent="0.2">
      <c r="B352" s="159" t="s">
        <v>1741</v>
      </c>
      <c r="C352" s="159" t="s">
        <v>1742</v>
      </c>
      <c r="D352" s="160">
        <v>50</v>
      </c>
      <c r="E352" s="161" t="s">
        <v>799</v>
      </c>
      <c r="F352" s="159" t="s">
        <v>1743</v>
      </c>
      <c r="G352" s="162">
        <v>43270</v>
      </c>
      <c r="H352" s="163">
        <f t="shared" si="6"/>
        <v>2018</v>
      </c>
      <c r="I352" s="159" t="s">
        <v>801</v>
      </c>
      <c r="J352" s="160">
        <v>165</v>
      </c>
      <c r="K352" s="160">
        <v>215</v>
      </c>
      <c r="L352" s="164">
        <v>16.600000000000001</v>
      </c>
      <c r="M352" s="165">
        <f t="shared" si="7"/>
        <v>9.9397590361445776</v>
      </c>
      <c r="N352" s="166" t="s">
        <v>1744</v>
      </c>
      <c r="O352" s="159" t="s">
        <v>1002</v>
      </c>
      <c r="P352" s="167" t="str">
        <f>HYPERLINK("https://my.pitchbook.com?c=93183-13T", "View company online")</f>
        <v>View company online</v>
      </c>
      <c r="Q352" s="156"/>
    </row>
    <row r="353" spans="2:17" hidden="1" x14ac:dyDescent="0.2">
      <c r="B353" s="159" t="s">
        <v>1745</v>
      </c>
      <c r="C353" s="159" t="s">
        <v>1746</v>
      </c>
      <c r="D353" s="160">
        <v>50</v>
      </c>
      <c r="E353" s="161" t="s">
        <v>1170</v>
      </c>
      <c r="F353" s="159" t="s">
        <v>1747</v>
      </c>
      <c r="G353" s="162">
        <v>43972</v>
      </c>
      <c r="H353" s="163">
        <f t="shared" si="6"/>
        <v>2020</v>
      </c>
      <c r="I353" s="159" t="s">
        <v>807</v>
      </c>
      <c r="J353" s="160">
        <v>950</v>
      </c>
      <c r="K353" s="160">
        <v>1000</v>
      </c>
      <c r="L353" s="164">
        <v>68.44</v>
      </c>
      <c r="M353" s="165">
        <f t="shared" si="7"/>
        <v>13.880771478667446</v>
      </c>
      <c r="N353" s="166" t="s">
        <v>1748</v>
      </c>
      <c r="O353" s="159" t="s">
        <v>803</v>
      </c>
      <c r="P353" s="167" t="str">
        <f>HYPERLINK("https://my.pitchbook.com?c=136858-69T", "View company online")</f>
        <v>View company online</v>
      </c>
      <c r="Q353" s="156"/>
    </row>
    <row r="354" spans="2:17" hidden="1" x14ac:dyDescent="0.2">
      <c r="B354" s="159" t="s">
        <v>1749</v>
      </c>
      <c r="C354" s="159" t="s">
        <v>1750</v>
      </c>
      <c r="D354" s="160">
        <v>50</v>
      </c>
      <c r="E354" s="161" t="s">
        <v>826</v>
      </c>
      <c r="F354" s="159" t="s">
        <v>1751</v>
      </c>
      <c r="G354" s="162">
        <v>43355</v>
      </c>
      <c r="H354" s="163">
        <f t="shared" si="6"/>
        <v>2018</v>
      </c>
      <c r="I354" s="159" t="s">
        <v>807</v>
      </c>
      <c r="J354" s="160">
        <v>450</v>
      </c>
      <c r="K354" s="160">
        <v>500</v>
      </c>
      <c r="L354" s="164">
        <v>21</v>
      </c>
      <c r="M354" s="165">
        <f t="shared" si="7"/>
        <v>21.428571428571427</v>
      </c>
      <c r="N354" s="166" t="s">
        <v>1752</v>
      </c>
      <c r="O354" s="159" t="s">
        <v>803</v>
      </c>
      <c r="P354" s="167" t="str">
        <f>HYPERLINK("https://my.pitchbook.com?c=111631-51T", "View company online")</f>
        <v>View company online</v>
      </c>
      <c r="Q354" s="156"/>
    </row>
    <row r="355" spans="2:17" hidden="1" x14ac:dyDescent="0.2">
      <c r="B355" s="159" t="s">
        <v>1753</v>
      </c>
      <c r="C355" s="159" t="s">
        <v>1754</v>
      </c>
      <c r="D355" s="160">
        <v>50</v>
      </c>
      <c r="E355" s="161" t="s">
        <v>799</v>
      </c>
      <c r="F355" s="159" t="s">
        <v>1755</v>
      </c>
      <c r="G355" s="162">
        <v>44308</v>
      </c>
      <c r="H355" s="163">
        <f t="shared" si="6"/>
        <v>2021</v>
      </c>
      <c r="I355" s="159" t="s">
        <v>807</v>
      </c>
      <c r="J355" s="160">
        <v>200</v>
      </c>
      <c r="K355" s="160">
        <v>250</v>
      </c>
      <c r="L355" s="164">
        <v>10</v>
      </c>
      <c r="M355" s="165">
        <f t="shared" si="7"/>
        <v>20</v>
      </c>
      <c r="N355" s="166" t="s">
        <v>1756</v>
      </c>
      <c r="O355" s="159" t="s">
        <v>803</v>
      </c>
      <c r="P355" s="167" t="str">
        <f>HYPERLINK("https://my.pitchbook.com?c=171100-72T", "View company online")</f>
        <v>View company online</v>
      </c>
      <c r="Q355" s="156"/>
    </row>
    <row r="356" spans="2:17" hidden="1" x14ac:dyDescent="0.2">
      <c r="B356" s="159" t="s">
        <v>1757</v>
      </c>
      <c r="C356" s="159" t="s">
        <v>1758</v>
      </c>
      <c r="D356" s="160">
        <v>50</v>
      </c>
      <c r="E356" s="161" t="s">
        <v>826</v>
      </c>
      <c r="F356" s="159" t="s">
        <v>1759</v>
      </c>
      <c r="G356" s="162">
        <v>44403</v>
      </c>
      <c r="H356" s="163">
        <f t="shared" si="6"/>
        <v>2021</v>
      </c>
      <c r="I356" s="159" t="s">
        <v>807</v>
      </c>
      <c r="J356" s="160">
        <v>250</v>
      </c>
      <c r="K356" s="160">
        <v>300</v>
      </c>
      <c r="L356" s="164">
        <v>25</v>
      </c>
      <c r="M356" s="165">
        <f t="shared" si="7"/>
        <v>10</v>
      </c>
      <c r="N356" s="166" t="s">
        <v>1760</v>
      </c>
      <c r="O356" s="159" t="s">
        <v>910</v>
      </c>
      <c r="P356" s="167" t="str">
        <f>HYPERLINK("https://my.pitchbook.com?c=177326-29T", "View company online")</f>
        <v>View company online</v>
      </c>
      <c r="Q356" s="156"/>
    </row>
    <row r="357" spans="2:17" x14ac:dyDescent="0.2">
      <c r="B357" s="159" t="s">
        <v>1761</v>
      </c>
      <c r="C357" s="159" t="s">
        <v>1762</v>
      </c>
      <c r="D357" s="160">
        <v>50</v>
      </c>
      <c r="E357" s="161" t="s">
        <v>816</v>
      </c>
      <c r="F357" s="159" t="s">
        <v>1763</v>
      </c>
      <c r="G357" s="162">
        <v>44662</v>
      </c>
      <c r="H357" s="163">
        <f t="shared" si="6"/>
        <v>2022</v>
      </c>
      <c r="I357" s="159" t="s">
        <v>807</v>
      </c>
      <c r="J357" s="160">
        <v>862</v>
      </c>
      <c r="K357" s="160">
        <v>912</v>
      </c>
      <c r="L357" s="164">
        <v>25.54</v>
      </c>
      <c r="M357" s="165">
        <f t="shared" si="7"/>
        <v>33.750978856695383</v>
      </c>
      <c r="N357" s="166" t="s">
        <v>1764</v>
      </c>
      <c r="O357" s="159" t="s">
        <v>1188</v>
      </c>
      <c r="P357" s="167" t="str">
        <f>HYPERLINK("https://my.pitchbook.com?c=191999-26T", "View company online")</f>
        <v>View company online</v>
      </c>
      <c r="Q357" s="156"/>
    </row>
    <row r="358" spans="2:17" hidden="1" x14ac:dyDescent="0.2">
      <c r="B358" s="159" t="s">
        <v>1765</v>
      </c>
      <c r="C358" s="159" t="s">
        <v>1766</v>
      </c>
      <c r="D358" s="160">
        <v>50</v>
      </c>
      <c r="E358" s="161" t="s">
        <v>826</v>
      </c>
      <c r="F358" s="159" t="s">
        <v>1767</v>
      </c>
      <c r="G358" s="162">
        <v>43977</v>
      </c>
      <c r="H358" s="163">
        <f t="shared" si="6"/>
        <v>2020</v>
      </c>
      <c r="I358" s="159" t="s">
        <v>807</v>
      </c>
      <c r="J358" s="160">
        <v>210</v>
      </c>
      <c r="K358" s="160">
        <v>240</v>
      </c>
      <c r="L358" s="164">
        <v>24.3</v>
      </c>
      <c r="M358" s="165">
        <f t="shared" si="7"/>
        <v>8.6419753086419746</v>
      </c>
      <c r="N358" s="166" t="s">
        <v>1768</v>
      </c>
      <c r="O358" s="159" t="s">
        <v>803</v>
      </c>
      <c r="P358" s="167" t="str">
        <f>HYPERLINK("https://my.pitchbook.com?c=137007-28T", "View company online")</f>
        <v>View company online</v>
      </c>
      <c r="Q358" s="156"/>
    </row>
    <row r="359" spans="2:17" x14ac:dyDescent="0.2">
      <c r="B359" s="159" t="s">
        <v>1574</v>
      </c>
      <c r="C359" s="159" t="s">
        <v>1575</v>
      </c>
      <c r="D359" s="160">
        <v>50</v>
      </c>
      <c r="E359" s="161" t="s">
        <v>452</v>
      </c>
      <c r="F359" s="159" t="s">
        <v>1576</v>
      </c>
      <c r="G359" s="162">
        <v>44581</v>
      </c>
      <c r="H359" s="163">
        <f t="shared" si="6"/>
        <v>2022</v>
      </c>
      <c r="I359" s="159" t="s">
        <v>807</v>
      </c>
      <c r="J359" s="160">
        <v>150</v>
      </c>
      <c r="K359" s="160">
        <v>200</v>
      </c>
      <c r="L359" s="164">
        <v>10</v>
      </c>
      <c r="M359" s="165">
        <f t="shared" si="7"/>
        <v>15</v>
      </c>
      <c r="N359" s="166" t="s">
        <v>1769</v>
      </c>
      <c r="O359" s="159" t="s">
        <v>949</v>
      </c>
      <c r="P359" s="167" t="str">
        <f>HYPERLINK("https://my.pitchbook.com?c=186925-87T", "View company online")</f>
        <v>View company online</v>
      </c>
      <c r="Q359" s="156"/>
    </row>
    <row r="360" spans="2:17" hidden="1" x14ac:dyDescent="0.2">
      <c r="B360" s="159" t="s">
        <v>1770</v>
      </c>
      <c r="C360" s="159" t="s">
        <v>1771</v>
      </c>
      <c r="D360" s="160">
        <v>50</v>
      </c>
      <c r="E360" s="161" t="s">
        <v>1149</v>
      </c>
      <c r="F360" s="159" t="s">
        <v>1772</v>
      </c>
      <c r="G360" s="162">
        <v>43417</v>
      </c>
      <c r="H360" s="163">
        <f t="shared" si="6"/>
        <v>2018</v>
      </c>
      <c r="I360" s="159" t="s">
        <v>807</v>
      </c>
      <c r="J360" s="160">
        <v>960</v>
      </c>
      <c r="K360" s="160">
        <v>1010</v>
      </c>
      <c r="L360" s="164">
        <v>100</v>
      </c>
      <c r="M360" s="165">
        <f t="shared" si="7"/>
        <v>9.6</v>
      </c>
      <c r="N360" s="166" t="s">
        <v>1773</v>
      </c>
      <c r="O360" s="159" t="s">
        <v>803</v>
      </c>
      <c r="P360" s="167" t="str">
        <f>HYPERLINK("https://my.pitchbook.com?c=111971-71T", "View company online")</f>
        <v>View company online</v>
      </c>
      <c r="Q360" s="156"/>
    </row>
    <row r="361" spans="2:17" hidden="1" x14ac:dyDescent="0.2">
      <c r="B361" s="159" t="s">
        <v>1774</v>
      </c>
      <c r="C361" s="159" t="s">
        <v>1775</v>
      </c>
      <c r="D361" s="160">
        <v>50</v>
      </c>
      <c r="E361" s="161" t="s">
        <v>835</v>
      </c>
      <c r="F361" s="159" t="s">
        <v>1776</v>
      </c>
      <c r="G361" s="162">
        <v>43292</v>
      </c>
      <c r="H361" s="163">
        <f t="shared" si="6"/>
        <v>2018</v>
      </c>
      <c r="I361" s="159" t="s">
        <v>807</v>
      </c>
      <c r="J361" s="160">
        <v>500</v>
      </c>
      <c r="K361" s="160">
        <v>550</v>
      </c>
      <c r="L361" s="164">
        <v>50</v>
      </c>
      <c r="M361" s="165">
        <f t="shared" si="7"/>
        <v>10</v>
      </c>
      <c r="N361" s="166" t="s">
        <v>1777</v>
      </c>
      <c r="O361" s="159" t="s">
        <v>809</v>
      </c>
      <c r="P361" s="167" t="str">
        <f>HYPERLINK("https://my.pitchbook.com?c=108744-76T", "View company online")</f>
        <v>View company online</v>
      </c>
      <c r="Q361" s="156"/>
    </row>
    <row r="362" spans="2:17" hidden="1" x14ac:dyDescent="0.2">
      <c r="B362" s="159" t="s">
        <v>1778</v>
      </c>
      <c r="C362" s="159" t="s">
        <v>1779</v>
      </c>
      <c r="D362" s="160">
        <v>50</v>
      </c>
      <c r="E362" s="161" t="s">
        <v>835</v>
      </c>
      <c r="F362" s="159" t="s">
        <v>1780</v>
      </c>
      <c r="G362" s="162">
        <v>44399</v>
      </c>
      <c r="H362" s="163">
        <f t="shared" si="6"/>
        <v>2021</v>
      </c>
      <c r="I362" s="159" t="s">
        <v>807</v>
      </c>
      <c r="J362" s="160">
        <v>205.21</v>
      </c>
      <c r="K362" s="160">
        <v>232.71</v>
      </c>
      <c r="L362" s="164">
        <v>19.84</v>
      </c>
      <c r="M362" s="165">
        <f t="shared" si="7"/>
        <v>10.343245967741936</v>
      </c>
      <c r="N362" s="166" t="s">
        <v>1781</v>
      </c>
      <c r="O362" s="159" t="s">
        <v>803</v>
      </c>
      <c r="P362" s="167" t="str">
        <f>HYPERLINK("https://my.pitchbook.com?c=176968-00T", "View company online")</f>
        <v>View company online</v>
      </c>
      <c r="Q362" s="156"/>
    </row>
    <row r="363" spans="2:17" hidden="1" x14ac:dyDescent="0.2">
      <c r="B363" s="159" t="s">
        <v>1782</v>
      </c>
      <c r="C363" s="159" t="s">
        <v>1783</v>
      </c>
      <c r="D363" s="160">
        <v>50</v>
      </c>
      <c r="E363" s="161" t="s">
        <v>826</v>
      </c>
      <c r="F363" s="159" t="s">
        <v>1784</v>
      </c>
      <c r="G363" s="162">
        <v>43293</v>
      </c>
      <c r="H363" s="163">
        <f t="shared" si="6"/>
        <v>2018</v>
      </c>
      <c r="I363" s="159" t="s">
        <v>807</v>
      </c>
      <c r="J363" s="160">
        <v>150</v>
      </c>
      <c r="K363" s="160">
        <v>200</v>
      </c>
      <c r="L363" s="164">
        <v>26.3</v>
      </c>
      <c r="M363" s="165">
        <f t="shared" si="7"/>
        <v>5.7034220532319386</v>
      </c>
      <c r="N363" s="166" t="s">
        <v>1785</v>
      </c>
      <c r="O363" s="159" t="s">
        <v>932</v>
      </c>
      <c r="P363" s="167" t="str">
        <f>HYPERLINK("https://my.pitchbook.com?c=108856-45T", "View company online")</f>
        <v>View company online</v>
      </c>
      <c r="Q363" s="156"/>
    </row>
    <row r="364" spans="2:17" hidden="1" x14ac:dyDescent="0.2">
      <c r="B364" s="159" t="s">
        <v>1786</v>
      </c>
      <c r="C364" s="159" t="s">
        <v>1787</v>
      </c>
      <c r="D364" s="160">
        <v>50</v>
      </c>
      <c r="E364" s="161" t="s">
        <v>826</v>
      </c>
      <c r="F364" s="159" t="s">
        <v>1788</v>
      </c>
      <c r="G364" s="162">
        <v>44259</v>
      </c>
      <c r="H364" s="163">
        <f t="shared" si="6"/>
        <v>2021</v>
      </c>
      <c r="I364" s="159" t="s">
        <v>807</v>
      </c>
      <c r="J364" s="160">
        <v>304.14999999999998</v>
      </c>
      <c r="K364" s="160">
        <v>354.15</v>
      </c>
      <c r="L364" s="164">
        <v>8.8000000000000007</v>
      </c>
      <c r="M364" s="165">
        <f t="shared" si="7"/>
        <v>34.562499999999993</v>
      </c>
      <c r="N364" s="166" t="s">
        <v>1789</v>
      </c>
      <c r="O364" s="159" t="s">
        <v>1790</v>
      </c>
      <c r="P364" s="167" t="str">
        <f>HYPERLINK("https://my.pitchbook.com?c=200297-98T", "View company online")</f>
        <v>View company online</v>
      </c>
      <c r="Q364" s="156"/>
    </row>
    <row r="365" spans="2:17" hidden="1" x14ac:dyDescent="0.2">
      <c r="B365" s="159" t="s">
        <v>1791</v>
      </c>
      <c r="C365" s="159" t="s">
        <v>1792</v>
      </c>
      <c r="D365" s="160">
        <v>50</v>
      </c>
      <c r="E365" s="161" t="s">
        <v>1149</v>
      </c>
      <c r="F365" s="159" t="s">
        <v>1793</v>
      </c>
      <c r="G365" s="162">
        <v>43550</v>
      </c>
      <c r="H365" s="163">
        <f t="shared" si="6"/>
        <v>2019</v>
      </c>
      <c r="I365" s="159" t="s">
        <v>807</v>
      </c>
      <c r="J365" s="160">
        <v>500</v>
      </c>
      <c r="K365" s="160">
        <v>550</v>
      </c>
      <c r="L365" s="164">
        <v>38.200000000000003</v>
      </c>
      <c r="M365" s="165">
        <f t="shared" si="7"/>
        <v>13.089005235602093</v>
      </c>
      <c r="N365" s="166" t="s">
        <v>1794</v>
      </c>
      <c r="O365" s="159" t="s">
        <v>809</v>
      </c>
      <c r="P365" s="167" t="str">
        <f>HYPERLINK("https://my.pitchbook.com?c=117818-83T", "View company online")</f>
        <v>View company online</v>
      </c>
      <c r="Q365" s="156"/>
    </row>
    <row r="366" spans="2:17" hidden="1" x14ac:dyDescent="0.2">
      <c r="B366" s="159" t="s">
        <v>1795</v>
      </c>
      <c r="C366" s="159" t="s">
        <v>1796</v>
      </c>
      <c r="D366" s="160">
        <v>50</v>
      </c>
      <c r="E366" s="161" t="s">
        <v>452</v>
      </c>
      <c r="F366" s="159" t="s">
        <v>1797</v>
      </c>
      <c r="G366" s="162">
        <v>44250</v>
      </c>
      <c r="H366" s="163">
        <f t="shared" si="6"/>
        <v>2021</v>
      </c>
      <c r="I366" s="159" t="s">
        <v>807</v>
      </c>
      <c r="J366" s="160">
        <v>234.42</v>
      </c>
      <c r="K366" s="160">
        <v>284.42</v>
      </c>
      <c r="L366" s="164">
        <v>9.1199999999999992</v>
      </c>
      <c r="M366" s="165">
        <f t="shared" si="7"/>
        <v>25.703947368421055</v>
      </c>
      <c r="N366" s="166" t="s">
        <v>1798</v>
      </c>
      <c r="O366" s="159" t="s">
        <v>803</v>
      </c>
      <c r="P366" s="167" t="str">
        <f>HYPERLINK("https://my.pitchbook.com?c=179596-09T", "View company online")</f>
        <v>View company online</v>
      </c>
      <c r="Q366" s="156"/>
    </row>
    <row r="367" spans="2:17" hidden="1" x14ac:dyDescent="0.2">
      <c r="B367" s="159" t="s">
        <v>1799</v>
      </c>
      <c r="C367" s="159" t="s">
        <v>1800</v>
      </c>
      <c r="D367" s="160">
        <v>50.04</v>
      </c>
      <c r="E367" s="161" t="s">
        <v>1170</v>
      </c>
      <c r="F367" s="159" t="s">
        <v>1801</v>
      </c>
      <c r="G367" s="162">
        <v>43839</v>
      </c>
      <c r="H367" s="163">
        <f t="shared" si="6"/>
        <v>2020</v>
      </c>
      <c r="I367" s="159" t="s">
        <v>807</v>
      </c>
      <c r="J367" s="160">
        <v>149.76</v>
      </c>
      <c r="K367" s="160">
        <v>196.47</v>
      </c>
      <c r="L367" s="164">
        <v>30.64</v>
      </c>
      <c r="M367" s="165">
        <f t="shared" si="7"/>
        <v>4.8877284595300257</v>
      </c>
      <c r="N367" s="166" t="s">
        <v>1802</v>
      </c>
      <c r="O367" s="159" t="s">
        <v>803</v>
      </c>
      <c r="P367" s="167" t="str">
        <f>HYPERLINK("https://my.pitchbook.com?c=129467-17T", "View company online")</f>
        <v>View company online</v>
      </c>
      <c r="Q367" s="156"/>
    </row>
    <row r="368" spans="2:17" hidden="1" x14ac:dyDescent="0.2">
      <c r="B368" s="159" t="s">
        <v>1803</v>
      </c>
      <c r="C368" s="159" t="s">
        <v>1804</v>
      </c>
      <c r="D368" s="160">
        <v>50.05</v>
      </c>
      <c r="E368" s="161" t="s">
        <v>835</v>
      </c>
      <c r="F368" s="159" t="s">
        <v>1805</v>
      </c>
      <c r="G368" s="162">
        <v>43756</v>
      </c>
      <c r="H368" s="163">
        <f t="shared" si="6"/>
        <v>2019</v>
      </c>
      <c r="I368" s="159" t="s">
        <v>807</v>
      </c>
      <c r="J368" s="160">
        <v>300</v>
      </c>
      <c r="K368" s="160">
        <v>350.05</v>
      </c>
      <c r="L368" s="164">
        <v>11.28</v>
      </c>
      <c r="M368" s="165">
        <f t="shared" si="7"/>
        <v>26.595744680851066</v>
      </c>
      <c r="N368" s="166" t="s">
        <v>1806</v>
      </c>
      <c r="O368" s="159" t="s">
        <v>803</v>
      </c>
      <c r="P368" s="167" t="str">
        <f>HYPERLINK("https://my.pitchbook.com?c=126783-37T", "View company online")</f>
        <v>View company online</v>
      </c>
      <c r="Q368" s="156"/>
    </row>
    <row r="369" spans="2:17" hidden="1" x14ac:dyDescent="0.2">
      <c r="B369" s="159" t="s">
        <v>1807</v>
      </c>
      <c r="C369" s="159" t="s">
        <v>1808</v>
      </c>
      <c r="D369" s="160">
        <v>51.5</v>
      </c>
      <c r="E369" s="161" t="s">
        <v>826</v>
      </c>
      <c r="F369" s="159" t="s">
        <v>1809</v>
      </c>
      <c r="G369" s="162">
        <v>43483</v>
      </c>
      <c r="H369" s="163">
        <f t="shared" ref="H369:H400" si="8">YEAR(G369)</f>
        <v>2019</v>
      </c>
      <c r="I369" s="159" t="s">
        <v>807</v>
      </c>
      <c r="J369" s="160">
        <v>210</v>
      </c>
      <c r="K369" s="160">
        <v>261.5</v>
      </c>
      <c r="L369" s="164">
        <v>26</v>
      </c>
      <c r="M369" s="165">
        <f t="shared" ref="M369:M400" si="9">IFERROR(J369/L369," ")</f>
        <v>8.0769230769230766</v>
      </c>
      <c r="N369" s="166" t="s">
        <v>1810</v>
      </c>
      <c r="O369" s="159" t="s">
        <v>966</v>
      </c>
      <c r="P369" s="167" t="str">
        <f>HYPERLINK("https://my.pitchbook.com?c=115649-56T", "View company online")</f>
        <v>View company online</v>
      </c>
      <c r="Q369" s="156"/>
    </row>
    <row r="370" spans="2:17" hidden="1" x14ac:dyDescent="0.2">
      <c r="B370" s="159" t="s">
        <v>1098</v>
      </c>
      <c r="C370" s="159" t="s">
        <v>1099</v>
      </c>
      <c r="D370" s="160">
        <v>51.93</v>
      </c>
      <c r="E370" s="161" t="s">
        <v>835</v>
      </c>
      <c r="F370" s="159" t="s">
        <v>1100</v>
      </c>
      <c r="G370" s="162">
        <v>44285</v>
      </c>
      <c r="H370" s="163">
        <f t="shared" si="8"/>
        <v>2021</v>
      </c>
      <c r="I370" s="159" t="s">
        <v>807</v>
      </c>
      <c r="J370" s="160">
        <v>96.06</v>
      </c>
      <c r="K370" s="160">
        <v>147.99</v>
      </c>
      <c r="L370" s="164">
        <v>6.64</v>
      </c>
      <c r="M370" s="165">
        <f t="shared" si="9"/>
        <v>14.466867469879519</v>
      </c>
      <c r="N370" s="166" t="s">
        <v>1811</v>
      </c>
      <c r="O370" s="159" t="s">
        <v>971</v>
      </c>
      <c r="P370" s="167" t="str">
        <f>HYPERLINK("https://my.pitchbook.com?c=169496-29T", "View company online")</f>
        <v>View company online</v>
      </c>
      <c r="Q370" s="156"/>
    </row>
    <row r="371" spans="2:17" hidden="1" x14ac:dyDescent="0.2">
      <c r="B371" s="159" t="s">
        <v>1812</v>
      </c>
      <c r="C371" s="159" t="s">
        <v>1813</v>
      </c>
      <c r="D371" s="160">
        <v>52</v>
      </c>
      <c r="E371" s="161" t="s">
        <v>826</v>
      </c>
      <c r="F371" s="159" t="s">
        <v>1814</v>
      </c>
      <c r="G371" s="162">
        <v>43936</v>
      </c>
      <c r="H371" s="163">
        <f t="shared" si="8"/>
        <v>2020</v>
      </c>
      <c r="I371" s="159" t="s">
        <v>807</v>
      </c>
      <c r="J371" s="160">
        <v>800</v>
      </c>
      <c r="K371" s="160">
        <v>852</v>
      </c>
      <c r="L371" s="164">
        <v>100</v>
      </c>
      <c r="M371" s="165">
        <f t="shared" si="9"/>
        <v>8</v>
      </c>
      <c r="N371" s="166" t="s">
        <v>1815</v>
      </c>
      <c r="O371" s="159" t="s">
        <v>854</v>
      </c>
      <c r="P371" s="167" t="str">
        <f>HYPERLINK("https://my.pitchbook.com?c=135168-58T", "View company online")</f>
        <v>View company online</v>
      </c>
      <c r="Q371" s="156"/>
    </row>
    <row r="372" spans="2:17" hidden="1" x14ac:dyDescent="0.2">
      <c r="B372" s="159" t="s">
        <v>1816</v>
      </c>
      <c r="C372" s="159" t="s">
        <v>1817</v>
      </c>
      <c r="D372" s="160">
        <v>52</v>
      </c>
      <c r="E372" s="161" t="s">
        <v>826</v>
      </c>
      <c r="F372" s="159" t="s">
        <v>1818</v>
      </c>
      <c r="G372" s="162">
        <v>43655</v>
      </c>
      <c r="H372" s="163">
        <f t="shared" si="8"/>
        <v>2019</v>
      </c>
      <c r="I372" s="159" t="s">
        <v>807</v>
      </c>
      <c r="J372" s="160">
        <v>35</v>
      </c>
      <c r="K372" s="160">
        <v>60</v>
      </c>
      <c r="L372" s="164">
        <v>27.99</v>
      </c>
      <c r="M372" s="165">
        <f t="shared" si="9"/>
        <v>1.2504465880671669</v>
      </c>
      <c r="N372" s="166" t="s">
        <v>1819</v>
      </c>
      <c r="O372" s="159" t="s">
        <v>803</v>
      </c>
      <c r="P372" s="167" t="str">
        <f>HYPERLINK("https://my.pitchbook.com?c=120619-09T", "View company online")</f>
        <v>View company online</v>
      </c>
      <c r="Q372" s="156"/>
    </row>
    <row r="373" spans="2:17" hidden="1" x14ac:dyDescent="0.2">
      <c r="B373" s="159" t="s">
        <v>1820</v>
      </c>
      <c r="C373" s="159" t="s">
        <v>1821</v>
      </c>
      <c r="D373" s="160">
        <v>52</v>
      </c>
      <c r="E373" s="161" t="s">
        <v>835</v>
      </c>
      <c r="F373" s="159" t="s">
        <v>1822</v>
      </c>
      <c r="G373" s="162">
        <v>43756</v>
      </c>
      <c r="H373" s="163">
        <f t="shared" si="8"/>
        <v>2019</v>
      </c>
      <c r="I373" s="159" t="s">
        <v>807</v>
      </c>
      <c r="J373" s="160">
        <v>290</v>
      </c>
      <c r="K373" s="160">
        <v>335</v>
      </c>
      <c r="L373" s="164">
        <v>19.5</v>
      </c>
      <c r="M373" s="165">
        <f t="shared" si="9"/>
        <v>14.871794871794872</v>
      </c>
      <c r="N373" s="166" t="s">
        <v>1823</v>
      </c>
      <c r="O373" s="159" t="s">
        <v>838</v>
      </c>
      <c r="P373" s="167" t="str">
        <f>HYPERLINK("https://my.pitchbook.com?c=125298-19T", "View company online")</f>
        <v>View company online</v>
      </c>
      <c r="Q373" s="156"/>
    </row>
    <row r="374" spans="2:17" hidden="1" x14ac:dyDescent="0.2">
      <c r="B374" s="159" t="s">
        <v>1714</v>
      </c>
      <c r="C374" s="159" t="s">
        <v>1715</v>
      </c>
      <c r="D374" s="160">
        <v>52.4</v>
      </c>
      <c r="E374" s="161" t="s">
        <v>826</v>
      </c>
      <c r="F374" s="159" t="s">
        <v>1716</v>
      </c>
      <c r="G374" s="162">
        <v>44036</v>
      </c>
      <c r="H374" s="163">
        <f t="shared" si="8"/>
        <v>2020</v>
      </c>
      <c r="I374" s="159" t="s">
        <v>807</v>
      </c>
      <c r="J374" s="160">
        <v>355</v>
      </c>
      <c r="K374" s="160">
        <v>407.4</v>
      </c>
      <c r="L374" s="164">
        <v>85.88</v>
      </c>
      <c r="M374" s="165">
        <f t="shared" si="9"/>
        <v>4.1336748952026081</v>
      </c>
      <c r="N374" s="166" t="s">
        <v>1824</v>
      </c>
      <c r="O374" s="159" t="s">
        <v>854</v>
      </c>
      <c r="P374" s="167" t="str">
        <f>HYPERLINK("https://my.pitchbook.com?c=136582-66T", "View company online")</f>
        <v>View company online</v>
      </c>
      <c r="Q374" s="156"/>
    </row>
    <row r="375" spans="2:17" hidden="1" x14ac:dyDescent="0.2">
      <c r="B375" s="159" t="s">
        <v>1825</v>
      </c>
      <c r="C375" s="159" t="s">
        <v>1826</v>
      </c>
      <c r="D375" s="160">
        <v>53.57</v>
      </c>
      <c r="E375" s="161" t="s">
        <v>799</v>
      </c>
      <c r="F375" s="159" t="s">
        <v>1827</v>
      </c>
      <c r="G375" s="162">
        <v>43196</v>
      </c>
      <c r="H375" s="163">
        <f t="shared" si="8"/>
        <v>2018</v>
      </c>
      <c r="I375" s="159" t="s">
        <v>801</v>
      </c>
      <c r="J375" s="160">
        <v>93</v>
      </c>
      <c r="K375" s="160">
        <v>143.47999999999999</v>
      </c>
      <c r="L375" s="164">
        <v>30</v>
      </c>
      <c r="M375" s="165">
        <f t="shared" si="9"/>
        <v>3.1</v>
      </c>
      <c r="N375" s="166" t="s">
        <v>1828</v>
      </c>
      <c r="O375" s="159" t="s">
        <v>1372</v>
      </c>
      <c r="P375" s="167" t="str">
        <f>HYPERLINK("https://my.pitchbook.com?c=103337-20T", "View company online")</f>
        <v>View company online</v>
      </c>
      <c r="Q375" s="156"/>
    </row>
    <row r="376" spans="2:17" hidden="1" x14ac:dyDescent="0.2">
      <c r="B376" s="159" t="s">
        <v>1829</v>
      </c>
      <c r="C376" s="159" t="s">
        <v>1830</v>
      </c>
      <c r="D376" s="160">
        <v>54.43</v>
      </c>
      <c r="E376" s="161" t="s">
        <v>826</v>
      </c>
      <c r="F376" s="159" t="s">
        <v>1831</v>
      </c>
      <c r="G376" s="162">
        <v>44111</v>
      </c>
      <c r="H376" s="163">
        <f t="shared" si="8"/>
        <v>2020</v>
      </c>
      <c r="I376" s="159" t="s">
        <v>807</v>
      </c>
      <c r="J376" s="160">
        <v>65</v>
      </c>
      <c r="K376" s="160">
        <v>119.43</v>
      </c>
      <c r="L376" s="164">
        <v>17.399999999999999</v>
      </c>
      <c r="M376" s="165">
        <f t="shared" si="9"/>
        <v>3.7356321839080464</v>
      </c>
      <c r="N376" s="166" t="s">
        <v>1832</v>
      </c>
      <c r="O376" s="159" t="s">
        <v>838</v>
      </c>
      <c r="P376" s="167" t="str">
        <f>HYPERLINK("https://my.pitchbook.com?c=156657-16T", "View company online")</f>
        <v>View company online</v>
      </c>
      <c r="Q376" s="156"/>
    </row>
    <row r="377" spans="2:17" hidden="1" x14ac:dyDescent="0.2">
      <c r="B377" s="159" t="s">
        <v>1833</v>
      </c>
      <c r="C377" s="159" t="s">
        <v>1834</v>
      </c>
      <c r="D377" s="160">
        <v>55</v>
      </c>
      <c r="E377" s="161" t="s">
        <v>1170</v>
      </c>
      <c r="F377" s="159" t="s">
        <v>1835</v>
      </c>
      <c r="G377" s="162">
        <v>43627</v>
      </c>
      <c r="H377" s="163">
        <f t="shared" si="8"/>
        <v>2019</v>
      </c>
      <c r="I377" s="159" t="s">
        <v>807</v>
      </c>
      <c r="J377" s="160">
        <v>580</v>
      </c>
      <c r="K377" s="160">
        <v>635</v>
      </c>
      <c r="L377" s="164">
        <v>48.2</v>
      </c>
      <c r="M377" s="165">
        <f t="shared" si="9"/>
        <v>12.033195020746888</v>
      </c>
      <c r="N377" s="166" t="s">
        <v>1836</v>
      </c>
      <c r="O377" s="159" t="s">
        <v>838</v>
      </c>
      <c r="P377" s="167" t="str">
        <f>HYPERLINK("https://my.pitchbook.com?c=119583-37T", "View company online")</f>
        <v>View company online</v>
      </c>
      <c r="Q377" s="156"/>
    </row>
    <row r="378" spans="2:17" hidden="1" x14ac:dyDescent="0.2">
      <c r="B378" s="159" t="s">
        <v>1837</v>
      </c>
      <c r="C378" s="159" t="s">
        <v>1838</v>
      </c>
      <c r="D378" s="160">
        <v>55</v>
      </c>
      <c r="E378" s="161" t="s">
        <v>1839</v>
      </c>
      <c r="F378" s="159" t="s">
        <v>1840</v>
      </c>
      <c r="G378" s="162">
        <v>44281</v>
      </c>
      <c r="H378" s="163">
        <f t="shared" si="8"/>
        <v>2021</v>
      </c>
      <c r="I378" s="159" t="s">
        <v>807</v>
      </c>
      <c r="J378" s="160">
        <v>980</v>
      </c>
      <c r="K378" s="160">
        <v>1035</v>
      </c>
      <c r="L378" s="164">
        <v>71</v>
      </c>
      <c r="M378" s="165">
        <f t="shared" si="9"/>
        <v>13.80281690140845</v>
      </c>
      <c r="N378" s="166" t="s">
        <v>1841</v>
      </c>
      <c r="O378" s="159" t="s">
        <v>1842</v>
      </c>
      <c r="P378" s="167" t="str">
        <f>HYPERLINK("https://my.pitchbook.com?c=172448-56T", "View company online")</f>
        <v>View company online</v>
      </c>
      <c r="Q378" s="156"/>
    </row>
    <row r="379" spans="2:17" hidden="1" x14ac:dyDescent="0.2">
      <c r="B379" s="159" t="s">
        <v>1843</v>
      </c>
      <c r="C379" s="159" t="s">
        <v>1844</v>
      </c>
      <c r="D379" s="160">
        <v>55</v>
      </c>
      <c r="E379" s="161" t="s">
        <v>979</v>
      </c>
      <c r="F379" s="159" t="s">
        <v>1845</v>
      </c>
      <c r="G379" s="162">
        <v>43839</v>
      </c>
      <c r="H379" s="163">
        <f t="shared" si="8"/>
        <v>2020</v>
      </c>
      <c r="I379" s="159" t="s">
        <v>807</v>
      </c>
      <c r="J379" s="160">
        <v>1470</v>
      </c>
      <c r="K379" s="160">
        <v>1525</v>
      </c>
      <c r="L379" s="164">
        <v>101.25</v>
      </c>
      <c r="M379" s="165">
        <f t="shared" si="9"/>
        <v>14.518518518518519</v>
      </c>
      <c r="N379" s="166" t="s">
        <v>1846</v>
      </c>
      <c r="O379" s="159" t="s">
        <v>838</v>
      </c>
      <c r="P379" s="167" t="str">
        <f>HYPERLINK("https://my.pitchbook.com?c=129574-72T", "View company online")</f>
        <v>View company online</v>
      </c>
      <c r="Q379" s="156"/>
    </row>
    <row r="380" spans="2:17" hidden="1" x14ac:dyDescent="0.2">
      <c r="B380" s="159" t="s">
        <v>1847</v>
      </c>
      <c r="C380" s="159" t="s">
        <v>1848</v>
      </c>
      <c r="D380" s="160">
        <v>56</v>
      </c>
      <c r="E380" s="161" t="s">
        <v>1170</v>
      </c>
      <c r="F380" s="159" t="s">
        <v>1849</v>
      </c>
      <c r="G380" s="162">
        <v>43689</v>
      </c>
      <c r="H380" s="163">
        <f t="shared" si="8"/>
        <v>2019</v>
      </c>
      <c r="I380" s="159" t="s">
        <v>807</v>
      </c>
      <c r="J380" s="160">
        <v>230</v>
      </c>
      <c r="K380" s="160">
        <v>272.12</v>
      </c>
      <c r="L380" s="164">
        <v>50</v>
      </c>
      <c r="M380" s="165">
        <f t="shared" si="9"/>
        <v>4.5999999999999996</v>
      </c>
      <c r="N380" s="166" t="s">
        <v>1850</v>
      </c>
      <c r="O380" s="159" t="s">
        <v>803</v>
      </c>
      <c r="P380" s="167" t="str">
        <f>HYPERLINK("https://my.pitchbook.com?c=124893-55T", "View company online")</f>
        <v>View company online</v>
      </c>
      <c r="Q380" s="156"/>
    </row>
    <row r="381" spans="2:17" hidden="1" x14ac:dyDescent="0.2">
      <c r="B381" s="159" t="s">
        <v>1851</v>
      </c>
      <c r="C381" s="159" t="s">
        <v>1852</v>
      </c>
      <c r="D381" s="160">
        <v>56.34</v>
      </c>
      <c r="E381" s="161" t="s">
        <v>799</v>
      </c>
      <c r="F381" s="159" t="s">
        <v>1853</v>
      </c>
      <c r="G381" s="162">
        <v>44160</v>
      </c>
      <c r="H381" s="163">
        <f t="shared" si="8"/>
        <v>2020</v>
      </c>
      <c r="I381" s="159" t="s">
        <v>807</v>
      </c>
      <c r="J381" s="160">
        <v>435</v>
      </c>
      <c r="K381" s="160">
        <v>491.34</v>
      </c>
      <c r="L381" s="164">
        <v>60</v>
      </c>
      <c r="M381" s="165">
        <f t="shared" si="9"/>
        <v>7.25</v>
      </c>
      <c r="N381" s="166" t="s">
        <v>1854</v>
      </c>
      <c r="O381" s="159" t="s">
        <v>910</v>
      </c>
      <c r="P381" s="167" t="str">
        <f>HYPERLINK("https://my.pitchbook.com?c=160256-08T", "View company online")</f>
        <v>View company online</v>
      </c>
      <c r="Q381" s="156"/>
    </row>
    <row r="382" spans="2:17" hidden="1" x14ac:dyDescent="0.2">
      <c r="B382" s="159" t="s">
        <v>1855</v>
      </c>
      <c r="C382" s="159" t="s">
        <v>1856</v>
      </c>
      <c r="D382" s="160">
        <v>57.48</v>
      </c>
      <c r="E382" s="161" t="s">
        <v>816</v>
      </c>
      <c r="F382" s="159" t="s">
        <v>1857</v>
      </c>
      <c r="G382" s="162">
        <v>44477</v>
      </c>
      <c r="H382" s="163">
        <f t="shared" si="8"/>
        <v>2021</v>
      </c>
      <c r="I382" s="159" t="s">
        <v>807</v>
      </c>
      <c r="J382" s="160">
        <v>125.61</v>
      </c>
      <c r="K382" s="160">
        <v>156.44</v>
      </c>
      <c r="L382" s="164">
        <v>13.39</v>
      </c>
      <c r="M382" s="165">
        <f t="shared" si="9"/>
        <v>9.3808812546676617</v>
      </c>
      <c r="N382" s="166" t="s">
        <v>1858</v>
      </c>
      <c r="O382" s="159" t="s">
        <v>803</v>
      </c>
      <c r="P382" s="167" t="str">
        <f>HYPERLINK("https://my.pitchbook.com?c=181414-18T", "View company online")</f>
        <v>View company online</v>
      </c>
      <c r="Q382" s="156"/>
    </row>
    <row r="383" spans="2:17" hidden="1" x14ac:dyDescent="0.2">
      <c r="B383" s="159" t="s">
        <v>1636</v>
      </c>
      <c r="C383" s="159" t="s">
        <v>1637</v>
      </c>
      <c r="D383" s="160">
        <v>57.79</v>
      </c>
      <c r="E383" s="161" t="s">
        <v>799</v>
      </c>
      <c r="F383" s="159" t="s">
        <v>1638</v>
      </c>
      <c r="G383" s="162">
        <v>43349</v>
      </c>
      <c r="H383" s="163">
        <f t="shared" si="8"/>
        <v>2018</v>
      </c>
      <c r="I383" s="159" t="s">
        <v>807</v>
      </c>
      <c r="J383" s="160">
        <v>65.05</v>
      </c>
      <c r="K383" s="160">
        <v>106.24</v>
      </c>
      <c r="L383" s="164">
        <v>7.31</v>
      </c>
      <c r="M383" s="165">
        <f t="shared" si="9"/>
        <v>8.8987688098495212</v>
      </c>
      <c r="N383" s="166" t="s">
        <v>1859</v>
      </c>
      <c r="O383" s="159" t="s">
        <v>838</v>
      </c>
      <c r="P383" s="167" t="str">
        <f>HYPERLINK("https://my.pitchbook.com?c=105874-30T", "View company online")</f>
        <v>View company online</v>
      </c>
      <c r="Q383" s="156"/>
    </row>
    <row r="384" spans="2:17" hidden="1" x14ac:dyDescent="0.2">
      <c r="B384" s="159" t="s">
        <v>1860</v>
      </c>
      <c r="C384" s="159" t="s">
        <v>1861</v>
      </c>
      <c r="D384" s="160">
        <v>58</v>
      </c>
      <c r="E384" s="161" t="s">
        <v>799</v>
      </c>
      <c r="F384" s="159" t="s">
        <v>1862</v>
      </c>
      <c r="G384" s="162">
        <v>43938</v>
      </c>
      <c r="H384" s="163">
        <f t="shared" si="8"/>
        <v>2020</v>
      </c>
      <c r="I384" s="159" t="s">
        <v>807</v>
      </c>
      <c r="J384" s="160">
        <v>342</v>
      </c>
      <c r="K384" s="160">
        <v>400</v>
      </c>
      <c r="L384" s="164">
        <v>32</v>
      </c>
      <c r="M384" s="165">
        <f t="shared" si="9"/>
        <v>10.6875</v>
      </c>
      <c r="N384" s="166" t="s">
        <v>1863</v>
      </c>
      <c r="O384" s="159" t="s">
        <v>838</v>
      </c>
      <c r="P384" s="167" t="str">
        <f>HYPERLINK("https://my.pitchbook.com?c=160454-26T", "View company online")</f>
        <v>View company online</v>
      </c>
      <c r="Q384" s="156"/>
    </row>
    <row r="385" spans="2:17" hidden="1" x14ac:dyDescent="0.2">
      <c r="B385" s="159" t="s">
        <v>1864</v>
      </c>
      <c r="C385" s="159" t="s">
        <v>1865</v>
      </c>
      <c r="D385" s="160">
        <v>58.57</v>
      </c>
      <c r="E385" s="161" t="s">
        <v>835</v>
      </c>
      <c r="F385" s="159" t="s">
        <v>1866</v>
      </c>
      <c r="G385" s="162">
        <v>43165</v>
      </c>
      <c r="H385" s="163">
        <f t="shared" si="8"/>
        <v>2018</v>
      </c>
      <c r="I385" s="159" t="s">
        <v>807</v>
      </c>
      <c r="J385" s="160">
        <v>195</v>
      </c>
      <c r="K385" s="160">
        <v>253.57</v>
      </c>
      <c r="L385" s="164">
        <v>20</v>
      </c>
      <c r="M385" s="165">
        <f t="shared" si="9"/>
        <v>9.75</v>
      </c>
      <c r="N385" s="166" t="s">
        <v>1867</v>
      </c>
      <c r="O385" s="159" t="s">
        <v>803</v>
      </c>
      <c r="P385" s="167" t="str">
        <f>HYPERLINK("https://my.pitchbook.com?c=100063-81T", "View company online")</f>
        <v>View company online</v>
      </c>
      <c r="Q385" s="156"/>
    </row>
    <row r="386" spans="2:17" hidden="1" x14ac:dyDescent="0.2">
      <c r="B386" s="159" t="s">
        <v>1868</v>
      </c>
      <c r="C386" s="159" t="s">
        <v>1869</v>
      </c>
      <c r="D386" s="160">
        <v>59</v>
      </c>
      <c r="E386" s="161" t="s">
        <v>835</v>
      </c>
      <c r="F386" s="159" t="s">
        <v>1870</v>
      </c>
      <c r="G386" s="162">
        <v>43852</v>
      </c>
      <c r="H386" s="163">
        <f t="shared" si="8"/>
        <v>2020</v>
      </c>
      <c r="I386" s="159" t="s">
        <v>807</v>
      </c>
      <c r="J386" s="160">
        <v>800</v>
      </c>
      <c r="K386" s="160">
        <v>859</v>
      </c>
      <c r="L386" s="164">
        <v>34</v>
      </c>
      <c r="M386" s="165">
        <f t="shared" si="9"/>
        <v>23.529411764705884</v>
      </c>
      <c r="N386" s="166" t="s">
        <v>1871</v>
      </c>
      <c r="O386" s="159" t="s">
        <v>966</v>
      </c>
      <c r="P386" s="167" t="str">
        <f>HYPERLINK("https://my.pitchbook.com?c=130347-64T", "View company online")</f>
        <v>View company online</v>
      </c>
      <c r="Q386" s="156"/>
    </row>
    <row r="387" spans="2:17" hidden="1" x14ac:dyDescent="0.2">
      <c r="B387" s="159" t="s">
        <v>1872</v>
      </c>
      <c r="C387" s="159" t="s">
        <v>1873</v>
      </c>
      <c r="D387" s="160">
        <v>59.31</v>
      </c>
      <c r="E387" s="161" t="s">
        <v>1052</v>
      </c>
      <c r="F387" s="159" t="s">
        <v>1874</v>
      </c>
      <c r="G387" s="162">
        <v>44253</v>
      </c>
      <c r="H387" s="163">
        <f t="shared" si="8"/>
        <v>2021</v>
      </c>
      <c r="I387" s="159" t="s">
        <v>807</v>
      </c>
      <c r="J387" s="160">
        <v>793.54</v>
      </c>
      <c r="K387" s="160">
        <v>852.85</v>
      </c>
      <c r="L387" s="164">
        <v>136.29</v>
      </c>
      <c r="M387" s="165">
        <f t="shared" si="9"/>
        <v>5.8224374495560935</v>
      </c>
      <c r="N387" s="166" t="s">
        <v>1875</v>
      </c>
      <c r="O387" s="159" t="s">
        <v>1676</v>
      </c>
      <c r="P387" s="167" t="str">
        <f>HYPERLINK("https://my.pitchbook.com?c=167837-41T", "View company online")</f>
        <v>View company online</v>
      </c>
      <c r="Q387" s="156"/>
    </row>
    <row r="388" spans="2:17" hidden="1" x14ac:dyDescent="0.2">
      <c r="B388" s="159" t="s">
        <v>1876</v>
      </c>
      <c r="C388" s="159" t="s">
        <v>1877</v>
      </c>
      <c r="D388" s="160">
        <v>59.94</v>
      </c>
      <c r="E388" s="161" t="s">
        <v>1170</v>
      </c>
      <c r="F388" s="159" t="s">
        <v>1878</v>
      </c>
      <c r="G388" s="162">
        <v>43182</v>
      </c>
      <c r="H388" s="163">
        <f t="shared" si="8"/>
        <v>2018</v>
      </c>
      <c r="I388" s="159" t="s">
        <v>807</v>
      </c>
      <c r="J388" s="160">
        <v>190</v>
      </c>
      <c r="K388" s="160">
        <v>249.94</v>
      </c>
      <c r="L388" s="164">
        <v>21</v>
      </c>
      <c r="M388" s="165">
        <f t="shared" si="9"/>
        <v>9.0476190476190474</v>
      </c>
      <c r="N388" s="166" t="s">
        <v>1879</v>
      </c>
      <c r="O388" s="159" t="s">
        <v>803</v>
      </c>
      <c r="P388" s="167" t="str">
        <f>HYPERLINK("https://my.pitchbook.com?c=103969-27T", "View company online")</f>
        <v>View company online</v>
      </c>
      <c r="Q388" s="156"/>
    </row>
    <row r="389" spans="2:17" hidden="1" x14ac:dyDescent="0.2">
      <c r="B389" s="159" t="s">
        <v>1880</v>
      </c>
      <c r="C389" s="159" t="s">
        <v>1881</v>
      </c>
      <c r="D389" s="160">
        <v>60</v>
      </c>
      <c r="E389" s="161" t="s">
        <v>799</v>
      </c>
      <c r="F389" s="159" t="s">
        <v>1882</v>
      </c>
      <c r="G389" s="162">
        <v>43258</v>
      </c>
      <c r="H389" s="163">
        <f t="shared" si="8"/>
        <v>2018</v>
      </c>
      <c r="I389" s="159" t="s">
        <v>807</v>
      </c>
      <c r="J389" s="160">
        <v>375</v>
      </c>
      <c r="K389" s="160">
        <v>435</v>
      </c>
      <c r="L389" s="164">
        <v>30.2</v>
      </c>
      <c r="M389" s="165">
        <f t="shared" si="9"/>
        <v>12.417218543046358</v>
      </c>
      <c r="N389" s="166" t="s">
        <v>1883</v>
      </c>
      <c r="O389" s="159" t="s">
        <v>803</v>
      </c>
      <c r="P389" s="167" t="str">
        <f>HYPERLINK("https://my.pitchbook.com?c=107077-87T", "View company online")</f>
        <v>View company online</v>
      </c>
      <c r="Q389" s="156"/>
    </row>
    <row r="390" spans="2:17" hidden="1" x14ac:dyDescent="0.2">
      <c r="B390" s="159" t="s">
        <v>1884</v>
      </c>
      <c r="C390" s="159" t="s">
        <v>1885</v>
      </c>
      <c r="D390" s="160">
        <v>60</v>
      </c>
      <c r="E390" s="161" t="s">
        <v>835</v>
      </c>
      <c r="F390" s="159" t="s">
        <v>1886</v>
      </c>
      <c r="G390" s="162">
        <v>43980</v>
      </c>
      <c r="H390" s="163">
        <f t="shared" si="8"/>
        <v>2020</v>
      </c>
      <c r="I390" s="159" t="s">
        <v>807</v>
      </c>
      <c r="J390" s="160">
        <v>220</v>
      </c>
      <c r="K390" s="160">
        <v>280</v>
      </c>
      <c r="L390" s="164">
        <v>35</v>
      </c>
      <c r="M390" s="165">
        <f t="shared" si="9"/>
        <v>6.2857142857142856</v>
      </c>
      <c r="N390" s="166" t="s">
        <v>1887</v>
      </c>
      <c r="O390" s="159" t="s">
        <v>919</v>
      </c>
      <c r="P390" s="167" t="str">
        <f>HYPERLINK("https://my.pitchbook.com?c=135714-88T", "View company online")</f>
        <v>View company online</v>
      </c>
      <c r="Q390" s="156"/>
    </row>
    <row r="391" spans="2:17" hidden="1" x14ac:dyDescent="0.2">
      <c r="B391" s="159" t="s">
        <v>1888</v>
      </c>
      <c r="C391" s="159" t="s">
        <v>1889</v>
      </c>
      <c r="D391" s="160">
        <v>60</v>
      </c>
      <c r="E391" s="161" t="s">
        <v>835</v>
      </c>
      <c r="F391" s="159" t="s">
        <v>1890</v>
      </c>
      <c r="G391" s="162">
        <v>43719</v>
      </c>
      <c r="H391" s="163">
        <f t="shared" si="8"/>
        <v>2019</v>
      </c>
      <c r="I391" s="159" t="s">
        <v>807</v>
      </c>
      <c r="J391" s="160">
        <v>150</v>
      </c>
      <c r="K391" s="160">
        <v>210</v>
      </c>
      <c r="L391" s="164">
        <v>16.18</v>
      </c>
      <c r="M391" s="165">
        <f t="shared" si="9"/>
        <v>9.2707045735475901</v>
      </c>
      <c r="N391" s="166" t="s">
        <v>1891</v>
      </c>
      <c r="O391" s="159" t="s">
        <v>803</v>
      </c>
      <c r="P391" s="167" t="str">
        <f>HYPERLINK("https://my.pitchbook.com?c=123802-66T", "View company online")</f>
        <v>View company online</v>
      </c>
      <c r="Q391" s="156"/>
    </row>
    <row r="392" spans="2:17" hidden="1" x14ac:dyDescent="0.2">
      <c r="B392" s="159" t="s">
        <v>1590</v>
      </c>
      <c r="C392" s="159" t="s">
        <v>1591</v>
      </c>
      <c r="D392" s="160">
        <v>60</v>
      </c>
      <c r="E392" s="161" t="s">
        <v>835</v>
      </c>
      <c r="F392" s="159" t="s">
        <v>1592</v>
      </c>
      <c r="G392" s="162">
        <v>44488</v>
      </c>
      <c r="H392" s="163">
        <f t="shared" si="8"/>
        <v>2021</v>
      </c>
      <c r="I392" s="159" t="s">
        <v>807</v>
      </c>
      <c r="J392" s="160">
        <v>1940</v>
      </c>
      <c r="K392" s="160">
        <v>2000</v>
      </c>
      <c r="L392" s="164">
        <v>43.74</v>
      </c>
      <c r="M392" s="165">
        <f t="shared" si="9"/>
        <v>44.352994970278921</v>
      </c>
      <c r="N392" s="166" t="s">
        <v>1892</v>
      </c>
      <c r="O392" s="159" t="s">
        <v>889</v>
      </c>
      <c r="P392" s="167" t="str">
        <f>HYPERLINK("https://my.pitchbook.com?c=181866-07T", "View company online")</f>
        <v>View company online</v>
      </c>
      <c r="Q392" s="156"/>
    </row>
    <row r="393" spans="2:17" hidden="1" x14ac:dyDescent="0.2">
      <c r="B393" s="159" t="s">
        <v>1893</v>
      </c>
      <c r="C393" s="159" t="s">
        <v>1894</v>
      </c>
      <c r="D393" s="160">
        <v>60</v>
      </c>
      <c r="E393" s="161" t="s">
        <v>835</v>
      </c>
      <c r="F393" s="159" t="s">
        <v>1895</v>
      </c>
      <c r="G393" s="162">
        <v>43671</v>
      </c>
      <c r="H393" s="163">
        <f t="shared" si="8"/>
        <v>2019</v>
      </c>
      <c r="I393" s="159" t="s">
        <v>807</v>
      </c>
      <c r="J393" s="160">
        <v>300</v>
      </c>
      <c r="K393" s="160">
        <v>360</v>
      </c>
      <c r="L393" s="164">
        <v>7</v>
      </c>
      <c r="M393" s="165">
        <f t="shared" si="9"/>
        <v>42.857142857142854</v>
      </c>
      <c r="N393" s="166" t="s">
        <v>1896</v>
      </c>
      <c r="O393" s="159" t="s">
        <v>838</v>
      </c>
      <c r="P393" s="167" t="str">
        <f>HYPERLINK("https://my.pitchbook.com?c=121863-61T", "View company online")</f>
        <v>View company online</v>
      </c>
      <c r="Q393" s="156"/>
    </row>
    <row r="394" spans="2:17" hidden="1" x14ac:dyDescent="0.2">
      <c r="B394" s="159" t="s">
        <v>1897</v>
      </c>
      <c r="C394" s="159" t="s">
        <v>1898</v>
      </c>
      <c r="D394" s="160">
        <v>60</v>
      </c>
      <c r="E394" s="161" t="s">
        <v>1149</v>
      </c>
      <c r="F394" s="159" t="s">
        <v>1899</v>
      </c>
      <c r="G394" s="162">
        <v>44103</v>
      </c>
      <c r="H394" s="163">
        <f t="shared" si="8"/>
        <v>2020</v>
      </c>
      <c r="I394" s="159" t="s">
        <v>807</v>
      </c>
      <c r="J394" s="160">
        <v>760</v>
      </c>
      <c r="K394" s="160">
        <v>820</v>
      </c>
      <c r="L394" s="164">
        <v>68.44</v>
      </c>
      <c r="M394" s="165">
        <f t="shared" si="9"/>
        <v>11.104617182933957</v>
      </c>
      <c r="N394" s="166" t="s">
        <v>1900</v>
      </c>
      <c r="O394" s="159" t="s">
        <v>803</v>
      </c>
      <c r="P394" s="167" t="str">
        <f>HYPERLINK("https://my.pitchbook.com?c=157637-89T", "View company online")</f>
        <v>View company online</v>
      </c>
      <c r="Q394" s="156"/>
    </row>
    <row r="395" spans="2:17" hidden="1" x14ac:dyDescent="0.2">
      <c r="B395" s="159" t="s">
        <v>1901</v>
      </c>
      <c r="C395" s="159" t="s">
        <v>1902</v>
      </c>
      <c r="D395" s="160">
        <v>60</v>
      </c>
      <c r="E395" s="161" t="s">
        <v>835</v>
      </c>
      <c r="F395" s="159" t="s">
        <v>1903</v>
      </c>
      <c r="G395" s="162">
        <v>44154</v>
      </c>
      <c r="H395" s="163">
        <f t="shared" si="8"/>
        <v>2020</v>
      </c>
      <c r="I395" s="159" t="s">
        <v>807</v>
      </c>
      <c r="J395" s="160">
        <v>260</v>
      </c>
      <c r="K395" s="160">
        <v>300</v>
      </c>
      <c r="L395" s="164">
        <v>100</v>
      </c>
      <c r="M395" s="165">
        <f t="shared" si="9"/>
        <v>2.6</v>
      </c>
      <c r="N395" s="166" t="s">
        <v>1904</v>
      </c>
      <c r="O395" s="159" t="s">
        <v>803</v>
      </c>
      <c r="P395" s="167" t="str">
        <f>HYPERLINK("https://my.pitchbook.com?c=159801-76T", "View company online")</f>
        <v>View company online</v>
      </c>
      <c r="Q395" s="156"/>
    </row>
    <row r="396" spans="2:17" hidden="1" x14ac:dyDescent="0.2">
      <c r="B396" s="159" t="s">
        <v>1905</v>
      </c>
      <c r="C396" s="159" t="s">
        <v>1906</v>
      </c>
      <c r="D396" s="160">
        <v>60</v>
      </c>
      <c r="E396" s="161" t="s">
        <v>1170</v>
      </c>
      <c r="F396" s="159" t="s">
        <v>1907</v>
      </c>
      <c r="G396" s="162">
        <v>43314</v>
      </c>
      <c r="H396" s="163">
        <f t="shared" si="8"/>
        <v>2018</v>
      </c>
      <c r="I396" s="159" t="s">
        <v>807</v>
      </c>
      <c r="J396" s="160">
        <v>440</v>
      </c>
      <c r="K396" s="160">
        <v>500</v>
      </c>
      <c r="L396" s="164">
        <v>34.799999999999997</v>
      </c>
      <c r="M396" s="165">
        <f t="shared" si="9"/>
        <v>12.643678160919542</v>
      </c>
      <c r="N396" s="166" t="s">
        <v>1908</v>
      </c>
      <c r="O396" s="159" t="s">
        <v>803</v>
      </c>
      <c r="P396" s="167" t="str">
        <f>HYPERLINK("https://my.pitchbook.com?c=109901-44T", "View company online")</f>
        <v>View company online</v>
      </c>
      <c r="Q396" s="156"/>
    </row>
    <row r="397" spans="2:17" hidden="1" x14ac:dyDescent="0.2">
      <c r="B397" s="159" t="s">
        <v>1909</v>
      </c>
      <c r="C397" s="159" t="s">
        <v>1910</v>
      </c>
      <c r="D397" s="160">
        <v>60</v>
      </c>
      <c r="E397" s="161" t="s">
        <v>826</v>
      </c>
      <c r="F397" s="159" t="s">
        <v>1911</v>
      </c>
      <c r="G397" s="162">
        <v>43617</v>
      </c>
      <c r="H397" s="163">
        <f t="shared" si="8"/>
        <v>2019</v>
      </c>
      <c r="I397" s="159" t="s">
        <v>807</v>
      </c>
      <c r="J397" s="160">
        <v>600</v>
      </c>
      <c r="K397" s="160">
        <v>660</v>
      </c>
      <c r="L397" s="164">
        <v>35</v>
      </c>
      <c r="M397" s="165">
        <f t="shared" si="9"/>
        <v>17.142857142857142</v>
      </c>
      <c r="N397" s="166" t="s">
        <v>1912</v>
      </c>
      <c r="O397" s="159" t="s">
        <v>910</v>
      </c>
      <c r="P397" s="167" t="str">
        <f>HYPERLINK("https://my.pitchbook.com?c=120908-08T", "View company online")</f>
        <v>View company online</v>
      </c>
      <c r="Q397" s="156"/>
    </row>
    <row r="398" spans="2:17" hidden="1" x14ac:dyDescent="0.2">
      <c r="B398" s="159" t="s">
        <v>1913</v>
      </c>
      <c r="C398" s="159" t="s">
        <v>1914</v>
      </c>
      <c r="D398" s="160">
        <v>60</v>
      </c>
      <c r="E398" s="161" t="s">
        <v>826</v>
      </c>
      <c r="F398" s="159" t="s">
        <v>1915</v>
      </c>
      <c r="G398" s="162">
        <v>43281</v>
      </c>
      <c r="H398" s="163">
        <f t="shared" si="8"/>
        <v>2018</v>
      </c>
      <c r="I398" s="159" t="s">
        <v>807</v>
      </c>
      <c r="J398" s="160">
        <v>665</v>
      </c>
      <c r="K398" s="160">
        <v>725</v>
      </c>
      <c r="L398" s="164">
        <v>50</v>
      </c>
      <c r="M398" s="165">
        <f t="shared" si="9"/>
        <v>13.3</v>
      </c>
      <c r="N398" s="166" t="s">
        <v>1916</v>
      </c>
      <c r="O398" s="159" t="s">
        <v>1002</v>
      </c>
      <c r="P398" s="167" t="str">
        <f>HYPERLINK("https://my.pitchbook.com?c=108094-78T", "View company online")</f>
        <v>View company online</v>
      </c>
      <c r="Q398" s="156"/>
    </row>
    <row r="399" spans="2:17" hidden="1" x14ac:dyDescent="0.2">
      <c r="B399" s="159" t="s">
        <v>1685</v>
      </c>
      <c r="C399" s="159" t="s">
        <v>1686</v>
      </c>
      <c r="D399" s="160">
        <v>60</v>
      </c>
      <c r="E399" s="161" t="s">
        <v>1170</v>
      </c>
      <c r="F399" s="159" t="s">
        <v>1687</v>
      </c>
      <c r="G399" s="162">
        <v>44278</v>
      </c>
      <c r="H399" s="163">
        <f t="shared" si="8"/>
        <v>2021</v>
      </c>
      <c r="I399" s="159" t="s">
        <v>807</v>
      </c>
      <c r="J399" s="160">
        <v>940</v>
      </c>
      <c r="K399" s="160">
        <v>1000</v>
      </c>
      <c r="L399" s="164">
        <v>50</v>
      </c>
      <c r="M399" s="165">
        <f t="shared" si="9"/>
        <v>18.8</v>
      </c>
      <c r="N399" s="166" t="s">
        <v>1917</v>
      </c>
      <c r="O399" s="159" t="s">
        <v>803</v>
      </c>
      <c r="P399" s="167" t="str">
        <f>HYPERLINK("https://my.pitchbook.com?c=169017-22T", "View company online")</f>
        <v>View company online</v>
      </c>
      <c r="Q399" s="156"/>
    </row>
    <row r="400" spans="2:17" hidden="1" x14ac:dyDescent="0.2">
      <c r="B400" s="159" t="s">
        <v>1443</v>
      </c>
      <c r="C400" s="159" t="s">
        <v>1444</v>
      </c>
      <c r="D400" s="160">
        <v>60</v>
      </c>
      <c r="E400" s="161" t="s">
        <v>452</v>
      </c>
      <c r="F400" s="159" t="s">
        <v>1445</v>
      </c>
      <c r="G400" s="162">
        <v>43669</v>
      </c>
      <c r="H400" s="163">
        <f t="shared" si="8"/>
        <v>2019</v>
      </c>
      <c r="I400" s="159" t="s">
        <v>807</v>
      </c>
      <c r="J400" s="160">
        <v>240</v>
      </c>
      <c r="K400" s="160">
        <v>300</v>
      </c>
      <c r="L400" s="164">
        <v>10</v>
      </c>
      <c r="M400" s="165">
        <f t="shared" si="9"/>
        <v>24</v>
      </c>
      <c r="N400" s="166" t="s">
        <v>1918</v>
      </c>
      <c r="O400" s="159" t="s">
        <v>838</v>
      </c>
      <c r="P400" s="167" t="str">
        <f>HYPERLINK("https://my.pitchbook.com?c=123060-43T", "View company online")</f>
        <v>View company online</v>
      </c>
      <c r="Q400" s="156"/>
    </row>
    <row r="401" spans="2:17" x14ac:dyDescent="0.2">
      <c r="B401" s="159"/>
      <c r="C401" s="159"/>
      <c r="D401" s="160"/>
      <c r="E401" s="161"/>
      <c r="F401" s="159"/>
      <c r="G401" s="162"/>
      <c r="H401" s="163"/>
      <c r="I401" s="159"/>
      <c r="J401" s="160"/>
      <c r="K401" s="160"/>
      <c r="L401" s="164"/>
      <c r="M401" s="165"/>
      <c r="N401" s="166"/>
      <c r="O401" s="159"/>
      <c r="P401" s="167"/>
      <c r="Q401" s="156"/>
    </row>
    <row r="402" spans="2:17" ht="15" x14ac:dyDescent="0.2">
      <c r="B402" s="174" t="s">
        <v>1919</v>
      </c>
      <c r="C402" s="156"/>
      <c r="D402" s="156"/>
      <c r="E402" s="156"/>
      <c r="F402" s="156"/>
      <c r="G402" s="156"/>
      <c r="H402" s="156"/>
      <c r="I402" s="156"/>
      <c r="J402" s="156"/>
      <c r="K402" s="156"/>
      <c r="L402" s="156"/>
      <c r="M402" s="156"/>
      <c r="N402" s="156"/>
      <c r="O402" s="156"/>
      <c r="P402" s="156"/>
      <c r="Q402" s="156"/>
    </row>
    <row r="403" spans="2:17" x14ac:dyDescent="0.2">
      <c r="B403" s="156"/>
      <c r="C403" s="156"/>
      <c r="D403" s="156"/>
      <c r="E403" s="156"/>
      <c r="F403" s="156"/>
      <c r="G403" s="156"/>
      <c r="H403" s="156"/>
      <c r="I403" s="156"/>
      <c r="J403" s="156"/>
      <c r="K403" s="156"/>
      <c r="L403" s="156"/>
      <c r="M403" s="156"/>
      <c r="N403" s="156"/>
      <c r="O403" s="156"/>
      <c r="P403" s="156"/>
      <c r="Q403" s="156"/>
    </row>
    <row r="405" spans="2:17" x14ac:dyDescent="0.2">
      <c r="B405" s="157"/>
      <c r="C405" s="157"/>
      <c r="D405" s="288" t="s">
        <v>1943</v>
      </c>
      <c r="E405" s="288"/>
      <c r="F405" s="288"/>
      <c r="G405" s="157"/>
    </row>
    <row r="406" spans="2:17" x14ac:dyDescent="0.2">
      <c r="B406" s="157" t="s">
        <v>572</v>
      </c>
      <c r="C406" s="157" t="s">
        <v>1944</v>
      </c>
      <c r="D406" s="157" t="s">
        <v>1945</v>
      </c>
      <c r="E406" s="157" t="s">
        <v>738</v>
      </c>
      <c r="F406" s="157" t="s">
        <v>1946</v>
      </c>
      <c r="G406" s="157" t="s">
        <v>1947</v>
      </c>
    </row>
    <row r="407" spans="2:17" x14ac:dyDescent="0.2">
      <c r="B407" s="256" t="s">
        <v>1938</v>
      </c>
      <c r="C407" s="253"/>
      <c r="D407" s="253"/>
      <c r="E407" s="253"/>
      <c r="F407" s="253"/>
      <c r="G407" s="253"/>
    </row>
    <row r="408" spans="2:17" x14ac:dyDescent="0.2">
      <c r="B408" s="255" t="s">
        <v>1939</v>
      </c>
      <c r="C408" s="264">
        <f>MIN($E$41, $E$44, $E$47, $E$51, $E$72, $E$75, $E$81, $E$88)</f>
        <v>2.39</v>
      </c>
      <c r="D408" s="264">
        <f>_xlfn.PERCENTILE.INC(($E$41, $E$44, $E$47, $E$51, $E$72, $E$75, $E$81, $E$88), 0.25)</f>
        <v>4.1850000000000005</v>
      </c>
      <c r="E408" s="264">
        <f>_xlfn.PERCENTILE.INC(($E$41, $E$44, $E$47, $E$51, $E$72, $E$75, $E$81, $E$88), 0.5)</f>
        <v>9.4699999999999989</v>
      </c>
      <c r="F408" s="264">
        <f>_xlfn.PERCENTILE.INC(($E$41, $E$44, $E$47, $E$51, $E$72, $E$75, $E$81, $E$88), 0.75)</f>
        <v>12.872499999999999</v>
      </c>
      <c r="G408" s="264">
        <f>MAX($E$41, $E$44, $E$47, $E$51, $E$72, $E$75, $E$81, $E$88)</f>
        <v>20.260000000000002</v>
      </c>
    </row>
    <row r="409" spans="2:17" x14ac:dyDescent="0.2">
      <c r="B409" s="256" t="s">
        <v>1941</v>
      </c>
      <c r="C409" s="264"/>
      <c r="D409" s="264"/>
      <c r="E409" s="264"/>
      <c r="F409" s="264"/>
      <c r="G409" s="264"/>
    </row>
    <row r="410" spans="2:17" x14ac:dyDescent="0.2">
      <c r="B410" s="255" t="s">
        <v>1939</v>
      </c>
      <c r="C410" s="264">
        <f>MIN($M$173, $M$214, $M$271, $M$287, $M$357, $M$359)</f>
        <v>3.2096069868995634</v>
      </c>
      <c r="D410" s="264">
        <f>_xlfn.PERCENTILE.INC(($M$173, $M$214, $M$271, $M$287, $M$357, $M$359), 0.25)</f>
        <v>5.2906225781451823</v>
      </c>
      <c r="E410" s="264">
        <f>_xlfn.PERCENTILE.INC(($M$173, $M$214, $M$271, $M$287, $M$357, $M$359), 0.5)</f>
        <v>10.372061482820977</v>
      </c>
      <c r="F410" s="264">
        <f>_xlfn.PERCENTILE.INC(($M$173, $M$214, $M$271, $M$287, $M$357, $M$359), 0.75)</f>
        <v>16.612664473684212</v>
      </c>
      <c r="G410" s="264">
        <f>MAX($M$173, $M$214, $M$271, $M$287, $M$357, $M$359)</f>
        <v>33.750978856695383</v>
      </c>
    </row>
    <row r="411" spans="2:17" x14ac:dyDescent="0.2">
      <c r="B411" s="255" t="s">
        <v>1940</v>
      </c>
      <c r="C411" s="264">
        <f>MIN($M$173, $M$214, $M$271, $M$287, $M$357, $M$359)</f>
        <v>3.2096069868995634</v>
      </c>
      <c r="D411" s="264">
        <f>_xlfn.PERCENTILE.INC(($M$173, $M$214, $M$271, $M$287, $M$357, $M$359), 0.25)</f>
        <v>5.2906225781451823</v>
      </c>
      <c r="E411" s="264">
        <f>_xlfn.PERCENTILE.INC(($M$173, $M$214, $M$271, $M$287, $M$357, $M$359), 0.5)</f>
        <v>10.372061482820977</v>
      </c>
      <c r="F411" s="264">
        <f>_xlfn.PERCENTILE.INC(($M$173, $M$214, $M$271, $M$287, $M$357, $M$359), 0.75)</f>
        <v>16.612664473684212</v>
      </c>
      <c r="G411" s="264">
        <f>MAX($M$173, $M$214, $M$271, $M$287, $M$357, $M$359)</f>
        <v>33.750978856695383</v>
      </c>
    </row>
    <row r="416" spans="2:17" x14ac:dyDescent="0.2">
      <c r="B416" s="157"/>
      <c r="C416" s="157"/>
      <c r="D416" s="288" t="s">
        <v>1942</v>
      </c>
      <c r="E416" s="288"/>
      <c r="F416" s="288"/>
      <c r="G416" s="157"/>
    </row>
    <row r="417" spans="2:13" x14ac:dyDescent="0.2">
      <c r="B417" s="157" t="s">
        <v>572</v>
      </c>
      <c r="C417" s="157" t="s">
        <v>1944</v>
      </c>
      <c r="D417" s="157" t="s">
        <v>1945</v>
      </c>
      <c r="E417" s="157" t="s">
        <v>738</v>
      </c>
      <c r="F417" s="157" t="s">
        <v>1946</v>
      </c>
      <c r="G417" s="157" t="s">
        <v>1947</v>
      </c>
    </row>
    <row r="418" spans="2:13" x14ac:dyDescent="0.2">
      <c r="B418" s="256" t="s">
        <v>1938</v>
      </c>
      <c r="C418" s="254"/>
      <c r="D418" s="254"/>
      <c r="E418" s="254"/>
      <c r="F418" s="254"/>
      <c r="G418" s="252"/>
    </row>
    <row r="419" spans="2:13" x14ac:dyDescent="0.2">
      <c r="B419" s="255" t="s">
        <v>1939</v>
      </c>
      <c r="C419" s="265">
        <f>C408*$C$6</f>
        <v>15753395.308099998</v>
      </c>
      <c r="D419" s="265">
        <f>D408*$C$6</f>
        <v>27584920.23615</v>
      </c>
      <c r="E419" s="265">
        <f>E408*$C$6</f>
        <v>62420357.141299985</v>
      </c>
      <c r="F419" s="265">
        <f>F408*$C$6</f>
        <v>84847523.474274978</v>
      </c>
      <c r="G419" s="265">
        <f>G408*$C$6</f>
        <v>133541334.28539999</v>
      </c>
    </row>
    <row r="420" spans="2:13" x14ac:dyDescent="0.2">
      <c r="B420" s="256" t="s">
        <v>1941</v>
      </c>
      <c r="C420" s="265"/>
      <c r="D420" s="265"/>
      <c r="E420" s="265"/>
      <c r="F420" s="265"/>
      <c r="G420" s="265"/>
    </row>
    <row r="421" spans="2:13" x14ac:dyDescent="0.2">
      <c r="B421" s="255" t="s">
        <v>1939</v>
      </c>
      <c r="C421" s="265">
        <f>C410*$C$6</f>
        <v>21155735.417685587</v>
      </c>
      <c r="D421" s="265">
        <f>D410*$C$6</f>
        <v>34872497.447481267</v>
      </c>
      <c r="E421" s="265">
        <f>E410*$C$6</f>
        <v>68366186.066442132</v>
      </c>
      <c r="F421" s="265">
        <f>F410*$C$6</f>
        <v>109500364.25722861</v>
      </c>
      <c r="G421" s="265">
        <f>G410*$C$6</f>
        <v>222465486.17776036</v>
      </c>
    </row>
    <row r="422" spans="2:13" x14ac:dyDescent="0.2">
      <c r="B422" s="255" t="s">
        <v>1940</v>
      </c>
      <c r="C422" s="265">
        <f>C411*$C$7</f>
        <v>53036688.471615724</v>
      </c>
      <c r="D422" s="265">
        <f>D411*$C$7</f>
        <v>87424130.942908809</v>
      </c>
      <c r="E422" s="265">
        <f>E411*$C$7</f>
        <v>171391636.39602169</v>
      </c>
      <c r="F422" s="265">
        <f>F411*$C$7</f>
        <v>274513581.87171054</v>
      </c>
      <c r="G422" s="265">
        <f>G411*$C$7</f>
        <v>557713189.97650754</v>
      </c>
    </row>
    <row r="428" spans="2:13" x14ac:dyDescent="0.2">
      <c r="B428" s="28" t="s">
        <v>1961</v>
      </c>
    </row>
    <row r="429" spans="2:13" x14ac:dyDescent="0.2">
      <c r="B429" s="157"/>
      <c r="C429" s="157"/>
      <c r="D429" s="288" t="s">
        <v>1943</v>
      </c>
      <c r="E429" s="288"/>
      <c r="F429" s="288"/>
      <c r="G429" s="157"/>
      <c r="H429" s="157"/>
      <c r="I429" s="288" t="s">
        <v>1942</v>
      </c>
      <c r="J429" s="288"/>
      <c r="K429" s="288"/>
      <c r="L429" s="157"/>
      <c r="M429" s="157"/>
    </row>
    <row r="430" spans="2:13" x14ac:dyDescent="0.2">
      <c r="B430" s="157" t="s">
        <v>572</v>
      </c>
      <c r="C430" s="157" t="s">
        <v>1944</v>
      </c>
      <c r="D430" s="157" t="s">
        <v>1951</v>
      </c>
      <c r="E430" s="157" t="s">
        <v>1952</v>
      </c>
      <c r="F430" s="157" t="s">
        <v>1953</v>
      </c>
      <c r="G430" s="157" t="s">
        <v>1954</v>
      </c>
      <c r="H430" s="157" t="s">
        <v>572</v>
      </c>
      <c r="I430" s="157" t="s">
        <v>1944</v>
      </c>
      <c r="J430" s="157" t="s">
        <v>1951</v>
      </c>
      <c r="K430" s="157" t="s">
        <v>1952</v>
      </c>
      <c r="L430" s="157" t="s">
        <v>1953</v>
      </c>
      <c r="M430" s="157" t="s">
        <v>1954</v>
      </c>
    </row>
    <row r="431" spans="2:13" x14ac:dyDescent="0.2">
      <c r="B431" s="255" t="s">
        <v>1950</v>
      </c>
      <c r="C431" s="264">
        <f>C411</f>
        <v>3.2096069868995634</v>
      </c>
      <c r="D431" s="264">
        <f>D411-C411</f>
        <v>2.081015591245619</v>
      </c>
      <c r="E431" s="264">
        <f>E411-D411</f>
        <v>5.0814389046757942</v>
      </c>
      <c r="F431" s="264">
        <f>F411-E411</f>
        <v>6.2406029908632359</v>
      </c>
      <c r="G431" s="264">
        <f>G411-F411</f>
        <v>17.138314383011171</v>
      </c>
      <c r="H431" s="255" t="s">
        <v>1950</v>
      </c>
      <c r="I431" s="265">
        <f>C431*$C$7</f>
        <v>53036688.471615724</v>
      </c>
      <c r="J431" s="265">
        <f>D422-C422</f>
        <v>34387442.471293084</v>
      </c>
      <c r="K431" s="265">
        <f>E422-D422</f>
        <v>83967505.453112885</v>
      </c>
      <c r="L431" s="265">
        <f>F422-E422</f>
        <v>103121945.47568884</v>
      </c>
      <c r="M431" s="265">
        <f>G422-F422</f>
        <v>283199608.10479701</v>
      </c>
    </row>
    <row r="432" spans="2:13" x14ac:dyDescent="0.2">
      <c r="B432" s="255" t="s">
        <v>1949</v>
      </c>
      <c r="C432" s="264">
        <f>MIN($M$173, $M$214, $M$271, $M$287, $M$357, $M$359)</f>
        <v>3.2096069868995634</v>
      </c>
      <c r="D432" s="264">
        <f>D410-C410</f>
        <v>2.081015591245619</v>
      </c>
      <c r="E432" s="264">
        <f>E410-D410</f>
        <v>5.0814389046757942</v>
      </c>
      <c r="F432" s="264">
        <f>F410-E410</f>
        <v>6.2406029908632359</v>
      </c>
      <c r="G432" s="264">
        <f>G410-F410</f>
        <v>17.138314383011171</v>
      </c>
      <c r="H432" s="255" t="s">
        <v>1949</v>
      </c>
      <c r="I432" s="265">
        <f>C432*$C$6</f>
        <v>21155735.417685587</v>
      </c>
      <c r="J432" s="265">
        <f>D421-C421</f>
        <v>13716762.02979568</v>
      </c>
      <c r="K432" s="265">
        <f>E421-D421</f>
        <v>33493688.618960865</v>
      </c>
      <c r="L432" s="265">
        <f>F421-E421</f>
        <v>41134178.190786481</v>
      </c>
      <c r="M432" s="265">
        <f>G421-F421</f>
        <v>112965121.92053175</v>
      </c>
    </row>
    <row r="433" spans="2:13" x14ac:dyDescent="0.2">
      <c r="B433" s="255" t="s">
        <v>1948</v>
      </c>
      <c r="C433" s="264">
        <f>MIN($E$41, $E$44, $E$47, $E$51, $E$72, $E$75, $E$81, $E$88)</f>
        <v>2.39</v>
      </c>
      <c r="D433" s="264">
        <f>D408-C408</f>
        <v>1.7950000000000004</v>
      </c>
      <c r="E433" s="264">
        <f>E408-D408</f>
        <v>5.2849999999999984</v>
      </c>
      <c r="F433" s="264">
        <f>F408-E408</f>
        <v>3.4024999999999999</v>
      </c>
      <c r="G433" s="264">
        <f>G408-F408</f>
        <v>7.3875000000000028</v>
      </c>
      <c r="H433" s="255" t="s">
        <v>1948</v>
      </c>
      <c r="I433" s="265">
        <f>C433*$C$6</f>
        <v>15753395.308099998</v>
      </c>
      <c r="J433" s="265">
        <f>D419-C419</f>
        <v>11831524.928050002</v>
      </c>
      <c r="K433" s="265">
        <f>E419-D419</f>
        <v>34835436.905149981</v>
      </c>
      <c r="L433" s="265">
        <f>F419-E419</f>
        <v>22427166.332974993</v>
      </c>
      <c r="M433" s="265">
        <f>G419-F419</f>
        <v>48693810.81112501</v>
      </c>
    </row>
  </sheetData>
  <mergeCells count="4">
    <mergeCell ref="D405:F405"/>
    <mergeCell ref="D416:F416"/>
    <mergeCell ref="D429:F429"/>
    <mergeCell ref="I429:K429"/>
  </mergeCells>
  <pageMargins left="0.7" right="0.7" top="0.75" bottom="0.75" header="0.3" footer="0.3"/>
  <ignoredErrors>
    <ignoredError sqref="G11:L108" calculatedColumn="1"/>
  </ignoredErrors>
  <drawing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8AF04-015D-4DB8-8AFC-BA9AC1C681A9}">
  <dimension ref="B2:AE145"/>
  <sheetViews>
    <sheetView showGridLines="0" topLeftCell="A66" zoomScale="75" zoomScaleNormal="106" workbookViewId="0">
      <selection activeCell="S21" sqref="S21"/>
    </sheetView>
  </sheetViews>
  <sheetFormatPr baseColWidth="10" defaultColWidth="8.83203125" defaultRowHeight="15" x14ac:dyDescent="0.2"/>
  <cols>
    <col min="1" max="1" width="13.1640625" customWidth="1"/>
    <col min="2" max="2" width="13.5" customWidth="1"/>
    <col min="3" max="3" width="20.1640625" bestFit="1" customWidth="1"/>
    <col min="4" max="4" width="13.5" bestFit="1" customWidth="1"/>
    <col min="5" max="5" width="15.1640625" bestFit="1" customWidth="1"/>
    <col min="6" max="6" width="13.83203125" bestFit="1" customWidth="1"/>
    <col min="7" max="7" width="14.1640625" bestFit="1" customWidth="1"/>
    <col min="8" max="8" width="14.1640625" customWidth="1"/>
    <col min="9" max="9" width="14" bestFit="1" customWidth="1"/>
    <col min="10" max="11" width="13.83203125" bestFit="1" customWidth="1"/>
    <col min="12" max="12" width="14" bestFit="1" customWidth="1"/>
    <col min="13" max="15" width="14.83203125" bestFit="1" customWidth="1"/>
    <col min="16" max="16" width="13.5" bestFit="1" customWidth="1"/>
    <col min="18" max="18" width="34.83203125" bestFit="1" customWidth="1"/>
    <col min="19" max="27" width="17.6640625" bestFit="1" customWidth="1"/>
    <col min="28" max="30" width="18.83203125" bestFit="1" customWidth="1"/>
    <col min="31" max="31" width="15.33203125" bestFit="1" customWidth="1"/>
    <col min="32" max="32" width="9.5" bestFit="1" customWidth="1"/>
    <col min="33" max="33" width="9.83203125" bestFit="1" customWidth="1"/>
    <col min="34" max="34" width="10.6640625" bestFit="1" customWidth="1"/>
  </cols>
  <sheetData>
    <row r="2" spans="2:31" ht="16" thickBot="1" x14ac:dyDescent="0.25">
      <c r="E2" s="12" t="s">
        <v>453</v>
      </c>
      <c r="F2" s="12"/>
      <c r="G2" s="12"/>
      <c r="H2" s="12"/>
      <c r="I2" s="12"/>
      <c r="J2" s="12"/>
      <c r="K2" s="12"/>
      <c r="L2" s="12"/>
      <c r="M2" s="12"/>
      <c r="N2" s="12"/>
      <c r="O2" s="12"/>
      <c r="P2" s="12"/>
      <c r="S2" s="12" t="s">
        <v>447</v>
      </c>
      <c r="T2" s="12"/>
      <c r="U2" s="12"/>
      <c r="V2" s="12"/>
      <c r="W2" s="12"/>
      <c r="X2" s="12"/>
      <c r="Y2" s="12"/>
      <c r="Z2" s="12"/>
      <c r="AA2" s="12"/>
      <c r="AB2" s="12"/>
      <c r="AC2" s="12"/>
      <c r="AD2" s="12"/>
    </row>
    <row r="3" spans="2:31" ht="16" thickBot="1" x14ac:dyDescent="0.25">
      <c r="B3" s="176" t="s">
        <v>446</v>
      </c>
      <c r="C3" s="177" t="s">
        <v>4</v>
      </c>
      <c r="D3" s="177" t="s">
        <v>0</v>
      </c>
      <c r="E3" s="178">
        <v>44592</v>
      </c>
      <c r="F3" s="178">
        <f>EOMONTH(E3,1)</f>
        <v>44620</v>
      </c>
      <c r="G3" s="178">
        <f t="shared" ref="G3:P3" si="0">EOMONTH(F3,1)</f>
        <v>44651</v>
      </c>
      <c r="H3" s="178">
        <f t="shared" si="0"/>
        <v>44681</v>
      </c>
      <c r="I3" s="178">
        <f t="shared" si="0"/>
        <v>44712</v>
      </c>
      <c r="J3" s="178">
        <f t="shared" si="0"/>
        <v>44742</v>
      </c>
      <c r="K3" s="178">
        <f t="shared" si="0"/>
        <v>44773</v>
      </c>
      <c r="L3" s="178">
        <f t="shared" si="0"/>
        <v>44804</v>
      </c>
      <c r="M3" s="178">
        <f t="shared" si="0"/>
        <v>44834</v>
      </c>
      <c r="N3" s="178">
        <f t="shared" si="0"/>
        <v>44865</v>
      </c>
      <c r="O3" s="178">
        <f t="shared" si="0"/>
        <v>44895</v>
      </c>
      <c r="P3" s="179">
        <f t="shared" si="0"/>
        <v>44926</v>
      </c>
      <c r="R3" s="26" t="s">
        <v>454</v>
      </c>
      <c r="S3" s="176">
        <v>1</v>
      </c>
      <c r="T3" s="177">
        <f>S3+1</f>
        <v>2</v>
      </c>
      <c r="U3" s="177">
        <f t="shared" ref="U3:AD3" si="1">T3+1</f>
        <v>3</v>
      </c>
      <c r="V3" s="177">
        <f t="shared" si="1"/>
        <v>4</v>
      </c>
      <c r="W3" s="177">
        <f t="shared" si="1"/>
        <v>5</v>
      </c>
      <c r="X3" s="177">
        <f t="shared" si="1"/>
        <v>6</v>
      </c>
      <c r="Y3" s="177">
        <f t="shared" si="1"/>
        <v>7</v>
      </c>
      <c r="Z3" s="177">
        <f t="shared" si="1"/>
        <v>8</v>
      </c>
      <c r="AA3" s="177">
        <f t="shared" si="1"/>
        <v>9</v>
      </c>
      <c r="AB3" s="177">
        <f t="shared" si="1"/>
        <v>10</v>
      </c>
      <c r="AC3" s="177">
        <f t="shared" si="1"/>
        <v>11</v>
      </c>
      <c r="AD3" s="214">
        <f t="shared" si="1"/>
        <v>12</v>
      </c>
    </row>
    <row r="4" spans="2:31" x14ac:dyDescent="0.2">
      <c r="B4" s="194" cm="1">
        <f t="array" ref="B4">INDEX($E$3:$P$3,MATCH(TRUE,INDEX(E4:P4&lt;&gt;0,),0))</f>
        <v>44592</v>
      </c>
      <c r="C4" s="241">
        <v>1</v>
      </c>
      <c r="D4" s="14"/>
      <c r="E4" s="16">
        <v>18720</v>
      </c>
      <c r="F4" s="16">
        <v>18720</v>
      </c>
      <c r="G4" s="16">
        <v>18720</v>
      </c>
      <c r="H4" s="16">
        <v>18720</v>
      </c>
      <c r="I4" s="16">
        <v>18720</v>
      </c>
      <c r="J4" s="16">
        <v>18720</v>
      </c>
      <c r="K4" s="16">
        <v>18720</v>
      </c>
      <c r="L4" s="16">
        <v>18720</v>
      </c>
      <c r="M4" s="16">
        <v>18720</v>
      </c>
      <c r="N4" s="16">
        <v>18720</v>
      </c>
      <c r="O4" s="16">
        <v>18720</v>
      </c>
      <c r="P4" s="16">
        <v>18720</v>
      </c>
      <c r="R4" s="5">
        <v>44592</v>
      </c>
      <c r="S4" s="267" cm="1">
        <f t="array" ref="S4">SUMPRODUCT($D$57:$O$68*($D$91:$O$102=S$3)*($C$57:$C$68=$R4))</f>
        <v>108960</v>
      </c>
      <c r="T4" s="267" cm="1">
        <f t="array" ref="T4">SUMPRODUCT($D$57:$O$68*($D$91:$O$102=T$3)*($C$57:$C$68=$R4))</f>
        <v>99360</v>
      </c>
      <c r="U4" s="267" cm="1">
        <f t="array" ref="U4">SUMPRODUCT($D$57:$O$68*($D$91:$O$102=U$3)*($C$57:$C$68=$R4))</f>
        <v>99360</v>
      </c>
      <c r="V4" s="267" cm="1">
        <f t="array" ref="V4">SUMPRODUCT($D$57:$O$68*($D$91:$O$102=V$3)*($C$57:$C$68=$R4))</f>
        <v>99360</v>
      </c>
      <c r="W4" s="267" cm="1">
        <f t="array" ref="W4">SUMPRODUCT($D$57:$O$68*($D$91:$O$102=W$3)*($C$57:$C$68=$R4))</f>
        <v>99360</v>
      </c>
      <c r="X4" s="267" cm="1">
        <f t="array" ref="X4">SUMPRODUCT($D$57:$O$68*($D$91:$O$102=X$3)*($C$57:$C$68=$R4))</f>
        <v>99360</v>
      </c>
      <c r="Y4" s="267" cm="1">
        <f t="array" ref="Y4">SUMPRODUCT($D$57:$O$68*($D$91:$O$102=Y$3)*($C$57:$C$68=$R4))</f>
        <v>99360</v>
      </c>
      <c r="Z4" s="267" cm="1">
        <f t="array" ref="Z4">SUMPRODUCT($D$57:$O$68*($D$91:$O$102=Z$3)*($C$57:$C$68=$R4))</f>
        <v>99360</v>
      </c>
      <c r="AA4" s="267" cm="1">
        <f t="array" ref="AA4">SUMPRODUCT($D$57:$O$68*($D$91:$O$102=AA$3)*($C$57:$C$68=$R4))</f>
        <v>99360</v>
      </c>
      <c r="AB4" s="267" cm="1">
        <f t="array" ref="AB4">SUMPRODUCT($D$57:$O$68*($D$91:$O$102=AB$3)*($C$57:$C$68=$R4))</f>
        <v>99360</v>
      </c>
      <c r="AC4" s="267" cm="1">
        <f t="array" ref="AC4">SUMPRODUCT($D$57:$O$68*($D$91:$O$102=AC$3)*($C$57:$C$68=$R4))</f>
        <v>99360</v>
      </c>
      <c r="AD4" s="267" cm="1">
        <f t="array" ref="AD4">SUMPRODUCT($D$57:$O$68*($D$91:$O$102=AD$3)*($C$57:$C$68=$R4))</f>
        <v>99360</v>
      </c>
    </row>
    <row r="5" spans="2:31" x14ac:dyDescent="0.2">
      <c r="B5" s="195" cm="1">
        <f t="array" ref="B5">INDEX($E$3:$P$3,MATCH(TRUE,INDEX(E5:P5&lt;&gt;0,),0))</f>
        <v>44592</v>
      </c>
      <c r="C5" s="241">
        <v>2</v>
      </c>
      <c r="D5" s="14"/>
      <c r="E5" s="18">
        <v>9600</v>
      </c>
      <c r="F5" s="18"/>
      <c r="G5" s="18"/>
      <c r="H5" s="18"/>
      <c r="I5" s="18"/>
      <c r="J5" s="18"/>
      <c r="K5" s="18"/>
      <c r="L5" s="18"/>
      <c r="M5" s="18"/>
      <c r="N5" s="18"/>
      <c r="O5" s="18"/>
      <c r="P5" s="18"/>
      <c r="R5" s="6">
        <f t="shared" ref="R5:R15" si="2">EOMONTH(R4,1)</f>
        <v>44620</v>
      </c>
      <c r="S5" s="267" cm="1">
        <f t="array" ref="S5">SUMPRODUCT($D$57:$O$68*($D$91:$O$102=S$3)*($C$57:$C$68=$R5))</f>
        <v>26748</v>
      </c>
      <c r="T5" s="267" cm="1">
        <f t="array" ref="T5">SUMPRODUCT($D$57:$O$68*($D$91:$O$102=T$3)*($C$57:$C$68=$R5))</f>
        <v>26868</v>
      </c>
      <c r="U5" s="267" cm="1">
        <f t="array" ref="U5">SUMPRODUCT($D$57:$O$68*($D$91:$O$102=U$3)*($C$57:$C$68=$R5))</f>
        <v>26208</v>
      </c>
      <c r="V5" s="267" cm="1">
        <f t="array" ref="V5">SUMPRODUCT($D$57:$O$68*($D$91:$O$102=V$3)*($C$57:$C$68=$R5))</f>
        <v>26748</v>
      </c>
      <c r="W5" s="267" cm="1">
        <f t="array" ref="W5">SUMPRODUCT($D$57:$O$68*($D$91:$O$102=W$3)*($C$57:$C$68=$R5))</f>
        <v>27528</v>
      </c>
      <c r="X5" s="267" cm="1">
        <f t="array" ref="X5">SUMPRODUCT($D$57:$O$68*($D$91:$O$102=X$3)*($C$57:$C$68=$R5))</f>
        <v>27528</v>
      </c>
      <c r="Y5" s="267" cm="1">
        <f t="array" ref="Y5">SUMPRODUCT($D$57:$O$68*($D$91:$O$102=Y$3)*($C$57:$C$68=$R5))</f>
        <v>16428</v>
      </c>
      <c r="Z5" s="267" cm="1">
        <f t="array" ref="Z5">SUMPRODUCT($D$57:$O$68*($D$91:$O$102=Z$3)*($C$57:$C$68=$R5))</f>
        <v>10008</v>
      </c>
      <c r="AA5" s="267" cm="1">
        <f t="array" ref="AA5">SUMPRODUCT($D$57:$O$68*($D$91:$O$102=AA$3)*($C$57:$C$68=$R5))</f>
        <v>10008</v>
      </c>
      <c r="AB5" s="267" cm="1">
        <f t="array" ref="AB5">SUMPRODUCT($D$57:$O$68*($D$91:$O$102=AB$3)*($C$57:$C$68=$R5))</f>
        <v>10008</v>
      </c>
      <c r="AC5" s="267" cm="1">
        <f t="array" ref="AC5">SUMPRODUCT($D$57:$O$68*($D$91:$O$102=AC$3)*($C$57:$C$68=$R5))</f>
        <v>10008</v>
      </c>
      <c r="AD5" s="267" cm="1">
        <f t="array" ref="AD5">SUMPRODUCT($D$57:$O$68*($D$91:$O$102=AD$3)*($C$57:$C$68=$R5))</f>
        <v>0</v>
      </c>
    </row>
    <row r="6" spans="2:31" x14ac:dyDescent="0.2">
      <c r="B6" s="195" cm="1">
        <f t="array" ref="B6">INDEX($E$3:$P$3,MATCH(TRUE,INDEX(E6:P6&lt;&gt;0,),0))</f>
        <v>44592</v>
      </c>
      <c r="C6" s="241">
        <v>3</v>
      </c>
      <c r="D6" s="14"/>
      <c r="E6" s="18">
        <v>80640</v>
      </c>
      <c r="F6" s="18">
        <v>80640</v>
      </c>
      <c r="G6" s="18">
        <v>80640</v>
      </c>
      <c r="H6" s="18">
        <v>80640</v>
      </c>
      <c r="I6" s="18">
        <v>80640</v>
      </c>
      <c r="J6" s="18">
        <v>80640</v>
      </c>
      <c r="K6" s="18">
        <v>80640</v>
      </c>
      <c r="L6" s="18">
        <v>80640</v>
      </c>
      <c r="M6" s="18">
        <v>80640</v>
      </c>
      <c r="N6" s="18">
        <v>80640</v>
      </c>
      <c r="O6" s="18">
        <v>80640</v>
      </c>
      <c r="P6" s="18">
        <v>80640</v>
      </c>
      <c r="R6" s="6">
        <f t="shared" si="2"/>
        <v>44651</v>
      </c>
      <c r="S6" s="267" cm="1">
        <f t="array" ref="S6">SUMPRODUCT($D$57:$O$68*($D$91:$O$102=S$3)*($C$57:$C$68=$R6))</f>
        <v>67416</v>
      </c>
      <c r="T6" s="267" cm="1">
        <f t="array" ref="T6">SUMPRODUCT($D$57:$O$68*($D$91:$O$102=T$3)*($C$57:$C$68=$R6))</f>
        <v>68184</v>
      </c>
      <c r="U6" s="267" cm="1">
        <f t="array" ref="U6">SUMPRODUCT($D$57:$O$68*($D$91:$O$102=U$3)*($C$57:$C$68=$R6))</f>
        <v>68952</v>
      </c>
      <c r="V6" s="267" cm="1">
        <f t="array" ref="V6">SUMPRODUCT($D$57:$O$68*($D$91:$O$102=V$3)*($C$57:$C$68=$R6))</f>
        <v>69864</v>
      </c>
      <c r="W6" s="267" cm="1">
        <f t="array" ref="W6">SUMPRODUCT($D$57:$O$68*($D$91:$O$102=W$3)*($C$57:$C$68=$R6))</f>
        <v>70344</v>
      </c>
      <c r="X6" s="267" cm="1">
        <f t="array" ref="X6">SUMPRODUCT($D$57:$O$68*($D$91:$O$102=X$3)*($C$57:$C$68=$R6))</f>
        <v>69864</v>
      </c>
      <c r="Y6" s="267" cm="1">
        <f t="array" ref="Y6">SUMPRODUCT($D$57:$O$68*($D$91:$O$102=Y$3)*($C$57:$C$68=$R6))</f>
        <v>72600</v>
      </c>
      <c r="Z6" s="267" cm="1">
        <f t="array" ref="Z6">SUMPRODUCT($D$57:$O$68*($D$91:$O$102=Z$3)*($C$57:$C$68=$R6))</f>
        <v>78072</v>
      </c>
      <c r="AA6" s="267" cm="1">
        <f t="array" ref="AA6">SUMPRODUCT($D$57:$O$68*($D$91:$O$102=AA$3)*($C$57:$C$68=$R6))</f>
        <v>85020</v>
      </c>
      <c r="AB6" s="267" cm="1">
        <f t="array" ref="AB6">SUMPRODUCT($D$57:$O$68*($D$91:$O$102=AB$3)*($C$57:$C$68=$R6))</f>
        <v>85020</v>
      </c>
      <c r="AC6" s="267" cm="1">
        <f t="array" ref="AC6">SUMPRODUCT($D$57:$O$68*($D$91:$O$102=AC$3)*($C$57:$C$68=$R6))</f>
        <v>0</v>
      </c>
      <c r="AD6" s="267" cm="1">
        <f t="array" ref="AD6">SUMPRODUCT($D$57:$O$68*($D$91:$O$102=AD$3)*($C$57:$C$68=$R6))</f>
        <v>0</v>
      </c>
    </row>
    <row r="7" spans="2:31" x14ac:dyDescent="0.2">
      <c r="B7" s="195" cm="1">
        <f t="array" ref="B7">INDEX($E$3:$P$3,MATCH(TRUE,INDEX(E7:P7&lt;&gt;0,),0))</f>
        <v>44620</v>
      </c>
      <c r="C7" s="241">
        <v>4</v>
      </c>
      <c r="D7" s="14"/>
      <c r="E7" s="18"/>
      <c r="F7" s="18">
        <v>10008</v>
      </c>
      <c r="G7" s="18">
        <v>10008</v>
      </c>
      <c r="H7" s="18">
        <v>10008</v>
      </c>
      <c r="I7" s="18">
        <v>10008</v>
      </c>
      <c r="J7" s="18">
        <v>10008</v>
      </c>
      <c r="K7" s="18">
        <v>10008</v>
      </c>
      <c r="L7" s="18">
        <v>10008</v>
      </c>
      <c r="M7" s="18">
        <v>10008</v>
      </c>
      <c r="N7" s="18">
        <v>10008</v>
      </c>
      <c r="O7" s="18">
        <v>10008</v>
      </c>
      <c r="P7" s="18">
        <v>10008</v>
      </c>
      <c r="R7" s="6">
        <f t="shared" si="2"/>
        <v>44681</v>
      </c>
      <c r="S7" s="267" cm="1">
        <f t="array" ref="S7">SUMPRODUCT($D$57:$O$68*($D$91:$O$102=S$3)*($C$57:$C$68=$R7))</f>
        <v>10184</v>
      </c>
      <c r="T7" s="267" cm="1">
        <f t="array" ref="T7">SUMPRODUCT($D$57:$O$68*($D$91:$O$102=T$3)*($C$57:$C$68=$R7))</f>
        <v>10184</v>
      </c>
      <c r="U7" s="267" cm="1">
        <f t="array" ref="U7">SUMPRODUCT($D$57:$O$68*($D$91:$O$102=U$3)*($C$57:$C$68=$R7))</f>
        <v>10184</v>
      </c>
      <c r="V7" s="267" cm="1">
        <f t="array" ref="V7">SUMPRODUCT($D$57:$O$68*($D$91:$O$102=V$3)*($C$57:$C$68=$R7))</f>
        <v>10184</v>
      </c>
      <c r="W7" s="267" cm="1">
        <f t="array" ref="W7">SUMPRODUCT($D$57:$O$68*($D$91:$O$102=W$3)*($C$57:$C$68=$R7))</f>
        <v>10184</v>
      </c>
      <c r="X7" s="267" cm="1">
        <f t="array" ref="X7">SUMPRODUCT($D$57:$O$68*($D$91:$O$102=X$3)*($C$57:$C$68=$R7))</f>
        <v>5000</v>
      </c>
      <c r="Y7" s="267" cm="1">
        <f t="array" ref="Y7">SUMPRODUCT($D$57:$O$68*($D$91:$O$102=Y$3)*($C$57:$C$68=$R7))</f>
        <v>5000</v>
      </c>
      <c r="Z7" s="267" cm="1">
        <f t="array" ref="Z7">SUMPRODUCT($D$57:$O$68*($D$91:$O$102=Z$3)*($C$57:$C$68=$R7))</f>
        <v>5000</v>
      </c>
      <c r="AA7" s="267" cm="1">
        <f t="array" ref="AA7">SUMPRODUCT($D$57:$O$68*($D$91:$O$102=AA$3)*($C$57:$C$68=$R7))</f>
        <v>5000</v>
      </c>
      <c r="AB7" s="267" cm="1">
        <f t="array" ref="AB7">SUMPRODUCT($D$57:$O$68*($D$91:$O$102=AB$3)*($C$57:$C$68=$R7))</f>
        <v>0</v>
      </c>
      <c r="AC7" s="267" cm="1">
        <f t="array" ref="AC7">SUMPRODUCT($D$57:$O$68*($D$91:$O$102=AC$3)*($C$57:$C$68=$R7))</f>
        <v>0</v>
      </c>
      <c r="AD7" s="267" cm="1">
        <f t="array" ref="AD7">SUMPRODUCT($D$57:$O$68*($D$91:$O$102=AD$3)*($C$57:$C$68=$R7))</f>
        <v>0</v>
      </c>
    </row>
    <row r="8" spans="2:31" x14ac:dyDescent="0.2">
      <c r="B8" s="195" cm="1">
        <f t="array" ref="B8">INDEX($E$3:$P$3,MATCH(TRUE,INDEX(E8:P8&lt;&gt;0,),0))</f>
        <v>44620</v>
      </c>
      <c r="C8" s="241">
        <v>5</v>
      </c>
      <c r="D8" s="14"/>
      <c r="E8" s="18"/>
      <c r="F8" s="18">
        <v>10320</v>
      </c>
      <c r="G8" s="18">
        <v>10440</v>
      </c>
      <c r="H8" s="18">
        <v>9780</v>
      </c>
      <c r="I8" s="18">
        <v>10320</v>
      </c>
      <c r="J8" s="18">
        <v>11100</v>
      </c>
      <c r="K8" s="18">
        <v>11100</v>
      </c>
      <c r="L8" s="18"/>
      <c r="M8" s="18"/>
      <c r="N8" s="18"/>
      <c r="O8" s="18"/>
      <c r="P8" s="18"/>
      <c r="R8" s="6">
        <f t="shared" si="2"/>
        <v>44712</v>
      </c>
      <c r="S8" s="267" cm="1">
        <f t="array" ref="S8">SUMPRODUCT($D$57:$O$68*($D$91:$O$102=S$3)*($C$57:$C$68=$R8))</f>
        <v>29988</v>
      </c>
      <c r="T8" s="267" cm="1">
        <f t="array" ref="T8">SUMPRODUCT($D$57:$O$68*($D$91:$O$102=T$3)*($C$57:$C$68=$R8))</f>
        <v>29988</v>
      </c>
      <c r="U8" s="267" cm="1">
        <f t="array" ref="U8">SUMPRODUCT($D$57:$O$68*($D$91:$O$102=U$3)*($C$57:$C$68=$R8))</f>
        <v>29988</v>
      </c>
      <c r="V8" s="267" cm="1">
        <f t="array" ref="V8">SUMPRODUCT($D$57:$O$68*($D$91:$O$102=V$3)*($C$57:$C$68=$R8))</f>
        <v>29988</v>
      </c>
      <c r="W8" s="267" cm="1">
        <f t="array" ref="W8">SUMPRODUCT($D$57:$O$68*($D$91:$O$102=W$3)*($C$57:$C$68=$R8))</f>
        <v>29988</v>
      </c>
      <c r="X8" s="267" cm="1">
        <f t="array" ref="X8">SUMPRODUCT($D$57:$O$68*($D$91:$O$102=X$3)*($C$57:$C$68=$R8))</f>
        <v>29988</v>
      </c>
      <c r="Y8" s="267" cm="1">
        <f t="array" ref="Y8">SUMPRODUCT($D$57:$O$68*($D$91:$O$102=Y$3)*($C$57:$C$68=$R8))</f>
        <v>29988</v>
      </c>
      <c r="Z8" s="267" cm="1">
        <f t="array" ref="Z8">SUMPRODUCT($D$57:$O$68*($D$91:$O$102=Z$3)*($C$57:$C$68=$R8))</f>
        <v>24900</v>
      </c>
      <c r="AA8" s="267" cm="1">
        <f t="array" ref="AA8">SUMPRODUCT($D$57:$O$68*($D$91:$O$102=AA$3)*($C$57:$C$68=$R8))</f>
        <v>0</v>
      </c>
      <c r="AB8" s="267" cm="1">
        <f t="array" ref="AB8">SUMPRODUCT($D$57:$O$68*($D$91:$O$102=AB$3)*($C$57:$C$68=$R8))</f>
        <v>0</v>
      </c>
      <c r="AC8" s="267" cm="1">
        <f t="array" ref="AC8">SUMPRODUCT($D$57:$O$68*($D$91:$O$102=AC$3)*($C$57:$C$68=$R8))</f>
        <v>0</v>
      </c>
      <c r="AD8" s="267" cm="1">
        <f t="array" ref="AD8">SUMPRODUCT($D$57:$O$68*($D$91:$O$102=AD$3)*($C$57:$C$68=$R8))</f>
        <v>0</v>
      </c>
    </row>
    <row r="9" spans="2:31" x14ac:dyDescent="0.2">
      <c r="B9" s="195" cm="1">
        <f t="array" ref="B9">INDEX($E$3:$P$3,MATCH(TRUE,INDEX(E9:P9&lt;&gt;0,),0))</f>
        <v>44620</v>
      </c>
      <c r="C9" s="241">
        <v>6</v>
      </c>
      <c r="D9" s="14"/>
      <c r="E9" s="18"/>
      <c r="F9" s="18">
        <v>6420</v>
      </c>
      <c r="G9" s="18">
        <v>6420</v>
      </c>
      <c r="H9" s="18">
        <v>6420</v>
      </c>
      <c r="I9" s="18">
        <v>6420</v>
      </c>
      <c r="J9" s="18">
        <v>6420</v>
      </c>
      <c r="K9" s="18">
        <v>6420</v>
      </c>
      <c r="L9" s="18">
        <v>6420</v>
      </c>
      <c r="M9" s="18"/>
      <c r="N9" s="18"/>
      <c r="O9" s="18"/>
      <c r="P9" s="18"/>
      <c r="R9" s="6">
        <f t="shared" si="2"/>
        <v>44742</v>
      </c>
      <c r="S9" s="267" cm="1">
        <f t="array" ref="S9">SUMPRODUCT($D$57:$O$68*($D$91:$O$102=S$3)*($C$57:$C$68=$R9))</f>
        <v>5000</v>
      </c>
      <c r="T9" s="267" cm="1">
        <f t="array" ref="T9">SUMPRODUCT($D$57:$O$68*($D$91:$O$102=T$3)*($C$57:$C$68=$R9))</f>
        <v>5000</v>
      </c>
      <c r="U9" s="267" cm="1">
        <f t="array" ref="U9">SUMPRODUCT($D$57:$O$68*($D$91:$O$102=U$3)*($C$57:$C$68=$R9))</f>
        <v>5000</v>
      </c>
      <c r="V9" s="267" cm="1">
        <f t="array" ref="V9">SUMPRODUCT($D$57:$O$68*($D$91:$O$102=V$3)*($C$57:$C$68=$R9))</f>
        <v>5000</v>
      </c>
      <c r="W9" s="267" cm="1">
        <f t="array" ref="W9">SUMPRODUCT($D$57:$O$68*($D$91:$O$102=W$3)*($C$57:$C$68=$R9))</f>
        <v>5000</v>
      </c>
      <c r="X9" s="267" cm="1">
        <f t="array" ref="X9">SUMPRODUCT($D$57:$O$68*($D$91:$O$102=X$3)*($C$57:$C$68=$R9))</f>
        <v>5000</v>
      </c>
      <c r="Y9" s="267" cm="1">
        <f t="array" ref="Y9">SUMPRODUCT($D$57:$O$68*($D$91:$O$102=Y$3)*($C$57:$C$68=$R9))</f>
        <v>0</v>
      </c>
      <c r="Z9" s="267" cm="1">
        <f t="array" ref="Z9">SUMPRODUCT($D$57:$O$68*($D$91:$O$102=Z$3)*($C$57:$C$68=$R9))</f>
        <v>0</v>
      </c>
      <c r="AA9" s="267" cm="1">
        <f t="array" ref="AA9">SUMPRODUCT($D$57:$O$68*($D$91:$O$102=AA$3)*($C$57:$C$68=$R9))</f>
        <v>0</v>
      </c>
      <c r="AB9" s="267" cm="1">
        <f t="array" ref="AB9">SUMPRODUCT($D$57:$O$68*($D$91:$O$102=AB$3)*($C$57:$C$68=$R9))</f>
        <v>0</v>
      </c>
      <c r="AC9" s="267" cm="1">
        <f t="array" ref="AC9">SUMPRODUCT($D$57:$O$68*($D$91:$O$102=AC$3)*($C$57:$C$68=$R9))</f>
        <v>0</v>
      </c>
      <c r="AD9" s="267" cm="1">
        <f t="array" ref="AD9">SUMPRODUCT($D$57:$O$68*($D$91:$O$102=AD$3)*($C$57:$C$68=$R9))</f>
        <v>0</v>
      </c>
    </row>
    <row r="10" spans="2:31" x14ac:dyDescent="0.2">
      <c r="B10" s="195" cm="1">
        <f t="array" ref="B10">INDEX($E$3:$P$3,MATCH(TRUE,INDEX(E10:P10&lt;&gt;0,),0))</f>
        <v>44651</v>
      </c>
      <c r="C10" s="241">
        <v>7</v>
      </c>
      <c r="D10" s="14"/>
      <c r="E10" s="18"/>
      <c r="F10" s="18"/>
      <c r="G10" s="18">
        <v>7728</v>
      </c>
      <c r="H10" s="18">
        <v>8496</v>
      </c>
      <c r="I10" s="18">
        <v>9264</v>
      </c>
      <c r="J10" s="18">
        <v>10176</v>
      </c>
      <c r="K10" s="18">
        <v>10656</v>
      </c>
      <c r="L10" s="18">
        <v>10176</v>
      </c>
      <c r="M10" s="18">
        <v>12912</v>
      </c>
      <c r="N10" s="18">
        <v>18384</v>
      </c>
      <c r="O10" s="18">
        <v>18240</v>
      </c>
      <c r="P10" s="18">
        <v>18240</v>
      </c>
      <c r="R10" s="6">
        <f t="shared" si="2"/>
        <v>44773</v>
      </c>
      <c r="S10" s="267" cm="1">
        <f t="array" ref="S10">SUMPRODUCT($D$57:$O$68*($D$91:$O$102=S$3)*($C$57:$C$68=$R10))</f>
        <v>14040</v>
      </c>
      <c r="T10" s="267" cm="1">
        <f t="array" ref="T10">SUMPRODUCT($D$57:$O$68*($D$91:$O$102=T$3)*($C$57:$C$68=$R10))</f>
        <v>14040</v>
      </c>
      <c r="U10" s="267" cm="1">
        <f t="array" ref="U10">SUMPRODUCT($D$57:$O$68*($D$91:$O$102=U$3)*($C$57:$C$68=$R10))</f>
        <v>14040</v>
      </c>
      <c r="V10" s="267" cm="1">
        <f t="array" ref="V10">SUMPRODUCT($D$57:$O$68*($D$91:$O$102=V$3)*($C$57:$C$68=$R10))</f>
        <v>14040</v>
      </c>
      <c r="W10" s="267" cm="1">
        <f t="array" ref="W10">SUMPRODUCT($D$57:$O$68*($D$91:$O$102=W$3)*($C$57:$C$68=$R10))</f>
        <v>14040</v>
      </c>
      <c r="X10" s="267" cm="1">
        <f t="array" ref="X10">SUMPRODUCT($D$57:$O$68*($D$91:$O$102=X$3)*($C$57:$C$68=$R10))</f>
        <v>14040</v>
      </c>
      <c r="Y10" s="267" cm="1">
        <f t="array" ref="Y10">SUMPRODUCT($D$57:$O$68*($D$91:$O$102=Y$3)*($C$57:$C$68=$R10))</f>
        <v>0</v>
      </c>
      <c r="Z10" s="267" cm="1">
        <f t="array" ref="Z10">SUMPRODUCT($D$57:$O$68*($D$91:$O$102=Z$3)*($C$57:$C$68=$R10))</f>
        <v>0</v>
      </c>
      <c r="AA10" s="267" cm="1">
        <f t="array" ref="AA10">SUMPRODUCT($D$57:$O$68*($D$91:$O$102=AA$3)*($C$57:$C$68=$R10))</f>
        <v>0</v>
      </c>
      <c r="AB10" s="267" cm="1">
        <f t="array" ref="AB10">SUMPRODUCT($D$57:$O$68*($D$91:$O$102=AB$3)*($C$57:$C$68=$R10))</f>
        <v>0</v>
      </c>
      <c r="AC10" s="267" cm="1">
        <f t="array" ref="AC10">SUMPRODUCT($D$57:$O$68*($D$91:$O$102=AC$3)*($C$57:$C$68=$R10))</f>
        <v>0</v>
      </c>
      <c r="AD10" s="267" cm="1">
        <f t="array" ref="AD10">SUMPRODUCT($D$57:$O$68*($D$91:$O$102=AD$3)*($C$57:$C$68=$R10))</f>
        <v>0</v>
      </c>
    </row>
    <row r="11" spans="2:31" x14ac:dyDescent="0.2">
      <c r="B11" s="195" cm="1">
        <f t="array" ref="B11">INDEX($E$3:$P$3,MATCH(TRUE,INDEX(E11:P11&lt;&gt;0,),0))</f>
        <v>44651</v>
      </c>
      <c r="C11" s="241">
        <v>8</v>
      </c>
      <c r="D11" s="14"/>
      <c r="E11" s="18"/>
      <c r="F11" s="18"/>
      <c r="G11" s="18">
        <v>15000</v>
      </c>
      <c r="H11" s="18">
        <v>15000</v>
      </c>
      <c r="I11" s="18">
        <v>15000</v>
      </c>
      <c r="J11" s="18">
        <v>15000</v>
      </c>
      <c r="K11" s="18">
        <v>15000</v>
      </c>
      <c r="L11" s="18">
        <v>15000</v>
      </c>
      <c r="M11" s="18">
        <v>15000</v>
      </c>
      <c r="N11" s="18">
        <v>15000</v>
      </c>
      <c r="O11" s="18">
        <v>22092</v>
      </c>
      <c r="P11" s="18">
        <v>22092</v>
      </c>
      <c r="R11" s="6">
        <f t="shared" si="2"/>
        <v>44804</v>
      </c>
      <c r="S11" s="267" cm="1">
        <f t="array" ref="S11">SUMPRODUCT($D$57:$O$68*($D$91:$O$102=S$3)*($C$57:$C$68=$R11))</f>
        <v>33060</v>
      </c>
      <c r="T11" s="267" cm="1">
        <f t="array" ref="T11">SUMPRODUCT($D$57:$O$68*($D$91:$O$102=T$3)*($C$57:$C$68=$R11))</f>
        <v>33060</v>
      </c>
      <c r="U11" s="267" cm="1">
        <f t="array" ref="U11">SUMPRODUCT($D$57:$O$68*($D$91:$O$102=U$3)*($C$57:$C$68=$R11))</f>
        <v>33060</v>
      </c>
      <c r="V11" s="267" cm="1">
        <f t="array" ref="V11">SUMPRODUCT($D$57:$O$68*($D$91:$O$102=V$3)*($C$57:$C$68=$R11))</f>
        <v>33060</v>
      </c>
      <c r="W11" s="267" cm="1">
        <f t="array" ref="W11">SUMPRODUCT($D$57:$O$68*($D$91:$O$102=W$3)*($C$57:$C$68=$R11))</f>
        <v>24480</v>
      </c>
      <c r="X11" s="267" cm="1">
        <f t="array" ref="X11">SUMPRODUCT($D$57:$O$68*($D$91:$O$102=X$3)*($C$57:$C$68=$R11))</f>
        <v>0</v>
      </c>
      <c r="Y11" s="267" cm="1">
        <f t="array" ref="Y11">SUMPRODUCT($D$57:$O$68*($D$91:$O$102=Y$3)*($C$57:$C$68=$R11))</f>
        <v>0</v>
      </c>
      <c r="Z11" s="267" cm="1">
        <f t="array" ref="Z11">SUMPRODUCT($D$57:$O$68*($D$91:$O$102=Z$3)*($C$57:$C$68=$R11))</f>
        <v>0</v>
      </c>
      <c r="AA11" s="267" cm="1">
        <f t="array" ref="AA11">SUMPRODUCT($D$57:$O$68*($D$91:$O$102=AA$3)*($C$57:$C$68=$R11))</f>
        <v>0</v>
      </c>
      <c r="AB11" s="267" cm="1">
        <f t="array" ref="AB11">SUMPRODUCT($D$57:$O$68*($D$91:$O$102=AB$3)*($C$57:$C$68=$R11))</f>
        <v>0</v>
      </c>
      <c r="AC11" s="267" cm="1">
        <f t="array" ref="AC11">SUMPRODUCT($D$57:$O$68*($D$91:$O$102=AC$3)*($C$57:$C$68=$R11))</f>
        <v>0</v>
      </c>
      <c r="AD11" s="267" cm="1">
        <f t="array" ref="AD11">SUMPRODUCT($D$57:$O$68*($D$91:$O$102=AD$3)*($C$57:$C$68=$R11))</f>
        <v>0</v>
      </c>
    </row>
    <row r="12" spans="2:31" x14ac:dyDescent="0.2">
      <c r="B12" s="195" cm="1">
        <f t="array" ref="B12">INDEX($E$3:$P$3,MATCH(TRUE,INDEX(E12:P12&lt;&gt;0,),0))</f>
        <v>44651</v>
      </c>
      <c r="C12" s="241">
        <v>9</v>
      </c>
      <c r="D12" s="14"/>
      <c r="E12" s="18"/>
      <c r="F12" s="18"/>
      <c r="G12" s="18">
        <v>30288</v>
      </c>
      <c r="H12" s="18">
        <v>30288</v>
      </c>
      <c r="I12" s="18">
        <v>30288</v>
      </c>
      <c r="J12" s="18">
        <v>30288</v>
      </c>
      <c r="K12" s="18">
        <v>30288</v>
      </c>
      <c r="L12" s="18">
        <v>30288</v>
      </c>
      <c r="M12" s="18">
        <v>30288</v>
      </c>
      <c r="N12" s="18">
        <v>30288</v>
      </c>
      <c r="O12" s="18">
        <v>30288</v>
      </c>
      <c r="P12" s="18">
        <v>30288</v>
      </c>
      <c r="R12" s="6">
        <f t="shared" si="2"/>
        <v>44834</v>
      </c>
      <c r="S12" s="267" cm="1">
        <f t="array" ref="S12">SUMPRODUCT($D$57:$O$68*($D$91:$O$102=S$3)*($C$57:$C$68=$R12))</f>
        <v>20600</v>
      </c>
      <c r="T12" s="267" cm="1">
        <f t="array" ref="T12">SUMPRODUCT($D$57:$O$68*($D$91:$O$102=T$3)*($C$57:$C$68=$R12))</f>
        <v>20600</v>
      </c>
      <c r="U12" s="267" cm="1">
        <f t="array" ref="U12">SUMPRODUCT($D$57:$O$68*($D$91:$O$102=U$3)*($C$57:$C$68=$R12))</f>
        <v>20600</v>
      </c>
      <c r="V12" s="267" cm="1">
        <f t="array" ref="V12">SUMPRODUCT($D$57:$O$68*($D$91:$O$102=V$3)*($C$57:$C$68=$R12))</f>
        <v>20600</v>
      </c>
      <c r="W12" s="267" cm="1">
        <f t="array" ref="W12">SUMPRODUCT($D$57:$O$68*($D$91:$O$102=W$3)*($C$57:$C$68=$R12))</f>
        <v>0</v>
      </c>
      <c r="X12" s="267" cm="1">
        <f t="array" ref="X12">SUMPRODUCT($D$57:$O$68*($D$91:$O$102=X$3)*($C$57:$C$68=$R12))</f>
        <v>0</v>
      </c>
      <c r="Y12" s="267" cm="1">
        <f t="array" ref="Y12">SUMPRODUCT($D$57:$O$68*($D$91:$O$102=Y$3)*($C$57:$C$68=$R12))</f>
        <v>0</v>
      </c>
      <c r="Z12" s="267" cm="1">
        <f t="array" ref="Z12">SUMPRODUCT($D$57:$O$68*($D$91:$O$102=Z$3)*($C$57:$C$68=$R12))</f>
        <v>0</v>
      </c>
      <c r="AA12" s="267" cm="1">
        <f t="array" ref="AA12">SUMPRODUCT($D$57:$O$68*($D$91:$O$102=AA$3)*($C$57:$C$68=$R12))</f>
        <v>0</v>
      </c>
      <c r="AB12" s="267" cm="1">
        <f t="array" ref="AB12">SUMPRODUCT($D$57:$O$68*($D$91:$O$102=AB$3)*($C$57:$C$68=$R12))</f>
        <v>0</v>
      </c>
      <c r="AC12" s="267" cm="1">
        <f t="array" ref="AC12">SUMPRODUCT($D$57:$O$68*($D$91:$O$102=AC$3)*($C$57:$C$68=$R12))</f>
        <v>0</v>
      </c>
      <c r="AD12" s="267" cm="1">
        <f t="array" ref="AD12">SUMPRODUCT($D$57:$O$68*($D$91:$O$102=AD$3)*($C$57:$C$68=$R12))</f>
        <v>0</v>
      </c>
      <c r="AE12" s="14"/>
    </row>
    <row r="13" spans="2:31" x14ac:dyDescent="0.2">
      <c r="B13" s="195" cm="1">
        <f t="array" ref="B13">INDEX($E$3:$P$3,MATCH(TRUE,INDEX(E13:P13&lt;&gt;0,),0))</f>
        <v>44651</v>
      </c>
      <c r="C13" s="241">
        <v>10</v>
      </c>
      <c r="D13" s="14"/>
      <c r="E13" s="18"/>
      <c r="F13" s="18"/>
      <c r="G13" s="18">
        <v>14400</v>
      </c>
      <c r="H13" s="18">
        <v>14400</v>
      </c>
      <c r="I13" s="18">
        <v>14400</v>
      </c>
      <c r="J13" s="18">
        <v>14400</v>
      </c>
      <c r="K13" s="18">
        <v>14400</v>
      </c>
      <c r="L13" s="18">
        <v>14400</v>
      </c>
      <c r="M13" s="18">
        <v>14400</v>
      </c>
      <c r="N13" s="18">
        <v>14400</v>
      </c>
      <c r="O13" s="18">
        <v>14400</v>
      </c>
      <c r="P13" s="18">
        <v>14400</v>
      </c>
      <c r="R13" s="6">
        <f t="shared" si="2"/>
        <v>44865</v>
      </c>
      <c r="S13" s="267" cm="1">
        <f t="array" ref="S13">SUMPRODUCT($D$57:$O$68*($D$91:$O$102=S$3)*($C$57:$C$68=$R13))</f>
        <v>29970</v>
      </c>
      <c r="T13" s="267" cm="1">
        <f t="array" ref="T13">SUMPRODUCT($D$57:$O$68*($D$91:$O$102=T$3)*($C$57:$C$68=$R13))</f>
        <v>29970</v>
      </c>
      <c r="U13" s="267" cm="1">
        <f t="array" ref="U13">SUMPRODUCT($D$57:$O$68*($D$91:$O$102=U$3)*($C$57:$C$68=$R13))</f>
        <v>17820</v>
      </c>
      <c r="V13" s="267" cm="1">
        <f t="array" ref="V13">SUMPRODUCT($D$57:$O$68*($D$91:$O$102=V$3)*($C$57:$C$68=$R13))</f>
        <v>0</v>
      </c>
      <c r="W13" s="267" cm="1">
        <f t="array" ref="W13">SUMPRODUCT($D$57:$O$68*($D$91:$O$102=W$3)*($C$57:$C$68=$R13))</f>
        <v>0</v>
      </c>
      <c r="X13" s="267" cm="1">
        <f t="array" ref="X13">SUMPRODUCT($D$57:$O$68*($D$91:$O$102=X$3)*($C$57:$C$68=$R13))</f>
        <v>0</v>
      </c>
      <c r="Y13" s="267" cm="1">
        <f t="array" ref="Y13">SUMPRODUCT($D$57:$O$68*($D$91:$O$102=Y$3)*($C$57:$C$68=$R13))</f>
        <v>0</v>
      </c>
      <c r="Z13" s="267" cm="1">
        <f t="array" ref="Z13">SUMPRODUCT($D$57:$O$68*($D$91:$O$102=Z$3)*($C$57:$C$68=$R13))</f>
        <v>0</v>
      </c>
      <c r="AA13" s="267" cm="1">
        <f t="array" ref="AA13">SUMPRODUCT($D$57:$O$68*($D$91:$O$102=AA$3)*($C$57:$C$68=$R13))</f>
        <v>0</v>
      </c>
      <c r="AB13" s="267" cm="1">
        <f t="array" ref="AB13">SUMPRODUCT($D$57:$O$68*($D$91:$O$102=AB$3)*($C$57:$C$68=$R13))</f>
        <v>0</v>
      </c>
      <c r="AC13" s="267" cm="1">
        <f t="array" ref="AC13">SUMPRODUCT($D$57:$O$68*($D$91:$O$102=AC$3)*($C$57:$C$68=$R13))</f>
        <v>0</v>
      </c>
      <c r="AD13" s="267" cm="1">
        <f t="array" ref="AD13">SUMPRODUCT($D$57:$O$68*($D$91:$O$102=AD$3)*($C$57:$C$68=$R13))</f>
        <v>0</v>
      </c>
    </row>
    <row r="14" spans="2:31" x14ac:dyDescent="0.2">
      <c r="B14" s="195" cm="1">
        <f t="array" ref="B14">INDEX($E$3:$P$3,MATCH(TRUE,INDEX(E14:P14&lt;&gt;0,),0))</f>
        <v>44681</v>
      </c>
      <c r="C14" s="241">
        <v>11</v>
      </c>
      <c r="D14" s="14"/>
      <c r="E14" s="18"/>
      <c r="F14" s="18"/>
      <c r="G14" s="18"/>
      <c r="H14" s="18">
        <v>5184</v>
      </c>
      <c r="I14" s="18">
        <v>5184</v>
      </c>
      <c r="J14" s="18">
        <v>5184</v>
      </c>
      <c r="K14" s="18">
        <v>5184</v>
      </c>
      <c r="L14" s="18">
        <v>5184</v>
      </c>
      <c r="M14" s="18"/>
      <c r="N14" s="18"/>
      <c r="O14" s="18"/>
      <c r="P14" s="18"/>
      <c r="R14" s="6">
        <f t="shared" si="2"/>
        <v>44895</v>
      </c>
      <c r="S14" s="267" cm="1">
        <f t="array" ref="S14">SUMPRODUCT($D$57:$O$68*($D$91:$O$102=S$3)*($C$57:$C$68=$R14))</f>
        <v>39228</v>
      </c>
      <c r="T14" s="267" cm="1">
        <f t="array" ref="T14">SUMPRODUCT($D$57:$O$68*($D$91:$O$102=T$3)*($C$57:$C$68=$R14))</f>
        <v>39228</v>
      </c>
      <c r="U14" s="267" cm="1">
        <f t="array" ref="U14">SUMPRODUCT($D$57:$O$68*($D$91:$O$102=U$3)*($C$57:$C$68=$R14))</f>
        <v>0</v>
      </c>
      <c r="V14" s="267" cm="1">
        <f t="array" ref="V14">SUMPRODUCT($D$57:$O$68*($D$91:$O$102=V$3)*($C$57:$C$68=$R14))</f>
        <v>0</v>
      </c>
      <c r="W14" s="267" cm="1">
        <f t="array" ref="W14">SUMPRODUCT($D$57:$O$68*($D$91:$O$102=W$3)*($C$57:$C$68=$R14))</f>
        <v>0</v>
      </c>
      <c r="X14" s="267" cm="1">
        <f t="array" ref="X14">SUMPRODUCT($D$57:$O$68*($D$91:$O$102=X$3)*($C$57:$C$68=$R14))</f>
        <v>0</v>
      </c>
      <c r="Y14" s="267" cm="1">
        <f t="array" ref="Y14">SUMPRODUCT($D$57:$O$68*($D$91:$O$102=Y$3)*($C$57:$C$68=$R14))</f>
        <v>0</v>
      </c>
      <c r="Z14" s="267" cm="1">
        <f t="array" ref="Z14">SUMPRODUCT($D$57:$O$68*($D$91:$O$102=Z$3)*($C$57:$C$68=$R14))</f>
        <v>0</v>
      </c>
      <c r="AA14" s="267" cm="1">
        <f t="array" ref="AA14">SUMPRODUCT($D$57:$O$68*($D$91:$O$102=AA$3)*($C$57:$C$68=$R14))</f>
        <v>0</v>
      </c>
      <c r="AB14" s="267" cm="1">
        <f t="array" ref="AB14">SUMPRODUCT($D$57:$O$68*($D$91:$O$102=AB$3)*($C$57:$C$68=$R14))</f>
        <v>0</v>
      </c>
      <c r="AC14" s="267" cm="1">
        <f t="array" ref="AC14">SUMPRODUCT($D$57:$O$68*($D$91:$O$102=AC$3)*($C$57:$C$68=$R14))</f>
        <v>0</v>
      </c>
      <c r="AD14" s="267" cm="1">
        <f t="array" ref="AD14">SUMPRODUCT($D$57:$O$68*($D$91:$O$102=AD$3)*($C$57:$C$68=$R14))</f>
        <v>0</v>
      </c>
    </row>
    <row r="15" spans="2:31" ht="16" thickBot="1" x14ac:dyDescent="0.25">
      <c r="B15" s="195" cm="1">
        <f t="array" ref="B15">INDEX($E$3:$P$3,MATCH(TRUE,INDEX(E15:P15&lt;&gt;0,),0))</f>
        <v>44681</v>
      </c>
      <c r="C15" s="241">
        <v>12</v>
      </c>
      <c r="D15" s="14"/>
      <c r="E15" s="18"/>
      <c r="F15" s="18"/>
      <c r="G15" s="18"/>
      <c r="H15" s="18">
        <v>5000</v>
      </c>
      <c r="I15" s="18">
        <v>5000</v>
      </c>
      <c r="J15" s="18">
        <v>5000</v>
      </c>
      <c r="K15" s="18">
        <v>5000</v>
      </c>
      <c r="L15" s="18">
        <v>5000</v>
      </c>
      <c r="M15" s="18">
        <v>5000</v>
      </c>
      <c r="N15" s="18">
        <v>5000</v>
      </c>
      <c r="O15" s="18">
        <v>5000</v>
      </c>
      <c r="P15" s="18">
        <v>5000</v>
      </c>
      <c r="R15" s="7">
        <f t="shared" si="2"/>
        <v>44926</v>
      </c>
      <c r="S15" s="267" cm="1">
        <f t="array" ref="S15">SUMPRODUCT($D$57:$O$68*($D$91:$O$102=S$3)*($C$57:$C$68=$R15))</f>
        <v>45144</v>
      </c>
      <c r="T15" s="267" cm="1">
        <f t="array" ref="T15">SUMPRODUCT($D$57:$O$68*($D$91:$O$102=T$3)*($C$57:$C$68=$R15))</f>
        <v>0</v>
      </c>
      <c r="U15" s="267" cm="1">
        <f t="array" ref="U15">SUMPRODUCT($D$57:$O$68*($D$91:$O$102=U$3)*($C$57:$C$68=$R15))</f>
        <v>0</v>
      </c>
      <c r="V15" s="267" cm="1">
        <f t="array" ref="V15">SUMPRODUCT($D$57:$O$68*($D$91:$O$102=V$3)*($C$57:$C$68=$R15))</f>
        <v>0</v>
      </c>
      <c r="W15" s="267" cm="1">
        <f t="array" ref="W15">SUMPRODUCT($D$57:$O$68*($D$91:$O$102=W$3)*($C$57:$C$68=$R15))</f>
        <v>0</v>
      </c>
      <c r="X15" s="267" cm="1">
        <f t="array" ref="X15">SUMPRODUCT($D$57:$O$68*($D$91:$O$102=X$3)*($C$57:$C$68=$R15))</f>
        <v>0</v>
      </c>
      <c r="Y15" s="267" cm="1">
        <f t="array" ref="Y15">SUMPRODUCT($D$57:$O$68*($D$91:$O$102=Y$3)*($C$57:$C$68=$R15))</f>
        <v>0</v>
      </c>
      <c r="Z15" s="267" cm="1">
        <f t="array" ref="Z15">SUMPRODUCT($D$57:$O$68*($D$91:$O$102=Z$3)*($C$57:$C$68=$R15))</f>
        <v>0</v>
      </c>
      <c r="AA15" s="267" cm="1">
        <f t="array" ref="AA15">SUMPRODUCT($D$57:$O$68*($D$91:$O$102=AA$3)*($C$57:$C$68=$R15))</f>
        <v>0</v>
      </c>
      <c r="AB15" s="267" cm="1">
        <f t="array" ref="AB15">SUMPRODUCT($D$57:$O$68*($D$91:$O$102=AB$3)*($C$57:$C$68=$R15))</f>
        <v>0</v>
      </c>
      <c r="AC15" s="267" cm="1">
        <f t="array" ref="AC15">SUMPRODUCT($D$57:$O$68*($D$91:$O$102=AC$3)*($C$57:$C$68=$R15))</f>
        <v>0</v>
      </c>
      <c r="AD15" s="267" cm="1">
        <f t="array" ref="AD15">SUMPRODUCT($D$57:$O$68*($D$91:$O$102=AD$3)*($C$57:$C$68=$R15))</f>
        <v>0</v>
      </c>
    </row>
    <row r="16" spans="2:31" x14ac:dyDescent="0.2">
      <c r="B16" s="195" cm="1">
        <f t="array" ref="B16">INDEX($E$3:$P$3,MATCH(TRUE,INDEX(E16:P16&lt;&gt;0,),0))</f>
        <v>44712</v>
      </c>
      <c r="C16" s="241">
        <v>13</v>
      </c>
      <c r="D16" s="14"/>
      <c r="E16" s="18"/>
      <c r="F16" s="18"/>
      <c r="G16" s="18"/>
      <c r="H16" s="18"/>
      <c r="I16" s="18">
        <v>8208</v>
      </c>
      <c r="J16" s="18">
        <v>8208</v>
      </c>
      <c r="K16" s="18">
        <v>8208</v>
      </c>
      <c r="L16" s="18">
        <v>8208</v>
      </c>
      <c r="M16" s="18">
        <v>8208</v>
      </c>
      <c r="N16" s="18">
        <v>8208</v>
      </c>
      <c r="O16" s="18">
        <v>8208</v>
      </c>
      <c r="P16" s="18"/>
      <c r="S16" s="2"/>
      <c r="T16" s="2"/>
      <c r="U16" s="2"/>
      <c r="V16" s="2"/>
      <c r="W16" s="2"/>
      <c r="X16" s="2"/>
      <c r="Y16" s="2"/>
      <c r="Z16" s="2"/>
      <c r="AA16" s="2"/>
      <c r="AB16" s="2"/>
      <c r="AC16" s="2"/>
      <c r="AD16" s="2"/>
    </row>
    <row r="17" spans="2:31" x14ac:dyDescent="0.2">
      <c r="B17" s="195" cm="1">
        <f t="array" ref="B17">INDEX($E$3:$P$3,MATCH(TRUE,INDEX(E17:P17&lt;&gt;0,),0))</f>
        <v>44712</v>
      </c>
      <c r="C17" s="241">
        <v>14</v>
      </c>
      <c r="D17" s="14"/>
      <c r="E17" s="18"/>
      <c r="F17" s="18"/>
      <c r="G17" s="18"/>
      <c r="H17" s="18"/>
      <c r="I17" s="18">
        <v>21780</v>
      </c>
      <c r="J17" s="18">
        <v>21780</v>
      </c>
      <c r="K17" s="18">
        <v>21780</v>
      </c>
      <c r="L17" s="18">
        <v>21780</v>
      </c>
      <c r="M17" s="18">
        <v>21780</v>
      </c>
      <c r="N17" s="18">
        <v>21780</v>
      </c>
      <c r="O17" s="18">
        <v>21780</v>
      </c>
      <c r="P17" s="18">
        <v>24900</v>
      </c>
      <c r="S17" s="2"/>
      <c r="T17" s="2"/>
      <c r="U17" s="2"/>
      <c r="V17" s="2"/>
      <c r="W17" s="2"/>
      <c r="X17" s="2"/>
      <c r="Y17" s="2"/>
      <c r="Z17" s="2"/>
      <c r="AA17" s="2"/>
      <c r="AB17" s="2"/>
      <c r="AC17" s="2"/>
      <c r="AD17" s="2"/>
    </row>
    <row r="18" spans="2:31" x14ac:dyDescent="0.2">
      <c r="B18" s="195" cm="1">
        <f t="array" ref="B18">INDEX($E$3:$P$3,MATCH(TRUE,INDEX(E18:P18&lt;&gt;0,),0))</f>
        <v>44742</v>
      </c>
      <c r="C18" s="241">
        <v>15</v>
      </c>
      <c r="D18" s="14"/>
      <c r="E18" s="18"/>
      <c r="F18" s="18"/>
      <c r="G18" s="18"/>
      <c r="H18" s="18"/>
      <c r="I18" s="18"/>
      <c r="J18" s="18">
        <v>5000</v>
      </c>
      <c r="K18" s="18">
        <v>5000</v>
      </c>
      <c r="L18" s="18">
        <v>5000</v>
      </c>
      <c r="M18" s="18">
        <v>5000</v>
      </c>
      <c r="N18" s="18">
        <v>5000</v>
      </c>
      <c r="O18" s="18">
        <v>5000</v>
      </c>
      <c r="P18" s="18"/>
      <c r="S18" s="2"/>
      <c r="T18" s="2"/>
      <c r="U18" s="2"/>
      <c r="V18" s="2"/>
      <c r="W18" s="2"/>
      <c r="X18" s="2"/>
      <c r="Y18" s="2"/>
      <c r="Z18" s="2"/>
      <c r="AA18" s="2"/>
      <c r="AB18" s="2"/>
      <c r="AC18" s="2"/>
      <c r="AD18" s="2"/>
    </row>
    <row r="19" spans="2:31" x14ac:dyDescent="0.2">
      <c r="B19" s="195" cm="1">
        <f t="array" ref="B19">INDEX($E$3:$P$3,MATCH(TRUE,INDEX(E19:P19&lt;&gt;0,),0))</f>
        <v>44773</v>
      </c>
      <c r="C19" s="241">
        <v>16</v>
      </c>
      <c r="D19" s="14"/>
      <c r="E19" s="18"/>
      <c r="F19" s="18"/>
      <c r="G19" s="18"/>
      <c r="H19" s="18"/>
      <c r="I19" s="18"/>
      <c r="J19" s="18"/>
      <c r="K19" s="18">
        <v>7500</v>
      </c>
      <c r="L19" s="18">
        <v>7500</v>
      </c>
      <c r="M19" s="18">
        <v>7500</v>
      </c>
      <c r="N19" s="18">
        <v>7500</v>
      </c>
      <c r="O19" s="18">
        <v>7500</v>
      </c>
      <c r="P19" s="18">
        <v>7500</v>
      </c>
    </row>
    <row r="20" spans="2:31" x14ac:dyDescent="0.2">
      <c r="B20" s="195" cm="1">
        <f t="array" ref="B20">INDEX($E$3:$P$3,MATCH(TRUE,INDEX(E20:P20&lt;&gt;0,),0))</f>
        <v>44773</v>
      </c>
      <c r="C20" s="241">
        <v>17</v>
      </c>
      <c r="D20" s="14"/>
      <c r="E20" s="18"/>
      <c r="F20" s="18"/>
      <c r="G20" s="18"/>
      <c r="H20" s="18"/>
      <c r="I20" s="18"/>
      <c r="J20" s="18"/>
      <c r="K20" s="18">
        <v>6540</v>
      </c>
      <c r="L20" s="18">
        <v>6540</v>
      </c>
      <c r="M20" s="18">
        <v>6540</v>
      </c>
      <c r="N20" s="18">
        <v>6540</v>
      </c>
      <c r="O20" s="18">
        <v>6540</v>
      </c>
      <c r="P20" s="18">
        <v>6540</v>
      </c>
    </row>
    <row r="21" spans="2:31" ht="16" thickBot="1" x14ac:dyDescent="0.25">
      <c r="B21" s="195" cm="1">
        <f t="array" ref="B21">INDEX($E$3:$P$3,MATCH(TRUE,INDEX(E21:P21&lt;&gt;0,),0))</f>
        <v>44804</v>
      </c>
      <c r="C21" s="241">
        <v>18</v>
      </c>
      <c r="D21" s="14"/>
      <c r="E21" s="18"/>
      <c r="F21" s="18"/>
      <c r="G21" s="18"/>
      <c r="H21" s="18"/>
      <c r="I21" s="18"/>
      <c r="J21" s="18"/>
      <c r="K21" s="18"/>
      <c r="L21" s="18">
        <v>7440</v>
      </c>
      <c r="M21" s="18">
        <v>7440</v>
      </c>
      <c r="N21" s="18">
        <v>7440</v>
      </c>
      <c r="O21" s="18">
        <v>7440</v>
      </c>
      <c r="P21" s="18">
        <v>7440</v>
      </c>
      <c r="S21" s="12" t="s">
        <v>447</v>
      </c>
      <c r="T21" s="12"/>
      <c r="U21" s="12"/>
      <c r="V21" s="12"/>
      <c r="W21" s="12"/>
      <c r="X21" s="12"/>
      <c r="Y21" s="12"/>
      <c r="Z21" s="12"/>
      <c r="AA21" s="12"/>
      <c r="AB21" s="12"/>
      <c r="AC21" s="12"/>
      <c r="AD21" s="12"/>
      <c r="AE21" s="8"/>
    </row>
    <row r="22" spans="2:31" ht="16" thickBot="1" x14ac:dyDescent="0.25">
      <c r="B22" s="195" cm="1">
        <f t="array" ref="B22">INDEX($E$3:$P$3,MATCH(TRUE,INDEX(E22:P22&lt;&gt;0,),0))</f>
        <v>44804</v>
      </c>
      <c r="C22" s="241">
        <v>19</v>
      </c>
      <c r="D22" s="14"/>
      <c r="E22" s="18"/>
      <c r="F22" s="18"/>
      <c r="G22" s="18"/>
      <c r="H22" s="18"/>
      <c r="I22" s="18"/>
      <c r="J22" s="18"/>
      <c r="K22" s="18"/>
      <c r="L22" s="18">
        <v>17040</v>
      </c>
      <c r="M22" s="18">
        <v>17040</v>
      </c>
      <c r="N22" s="18">
        <v>17040</v>
      </c>
      <c r="O22" s="18">
        <v>17040</v>
      </c>
      <c r="P22" s="18">
        <v>17040</v>
      </c>
      <c r="R22" s="26" t="s">
        <v>455</v>
      </c>
      <c r="S22" s="9">
        <v>1</v>
      </c>
      <c r="T22" s="4">
        <f t="shared" ref="T22:AD22" si="3">S22+1</f>
        <v>2</v>
      </c>
      <c r="U22" s="4">
        <f t="shared" si="3"/>
        <v>3</v>
      </c>
      <c r="V22" s="4">
        <f t="shared" si="3"/>
        <v>4</v>
      </c>
      <c r="W22" s="4">
        <f t="shared" si="3"/>
        <v>5</v>
      </c>
      <c r="X22" s="4">
        <f t="shared" si="3"/>
        <v>6</v>
      </c>
      <c r="Y22" s="4">
        <f t="shared" si="3"/>
        <v>7</v>
      </c>
      <c r="Z22" s="4">
        <f t="shared" si="3"/>
        <v>8</v>
      </c>
      <c r="AA22" s="4">
        <f t="shared" si="3"/>
        <v>9</v>
      </c>
      <c r="AB22" s="4">
        <f t="shared" si="3"/>
        <v>10</v>
      </c>
      <c r="AC22" s="4">
        <f t="shared" si="3"/>
        <v>11</v>
      </c>
      <c r="AD22" s="10">
        <f t="shared" si="3"/>
        <v>12</v>
      </c>
      <c r="AE22" s="8"/>
    </row>
    <row r="23" spans="2:31" x14ac:dyDescent="0.2">
      <c r="B23" s="195" cm="1">
        <f t="array" ref="B23">INDEX($E$3:$P$3,MATCH(TRUE,INDEX(E23:P23&lt;&gt;0,),0))</f>
        <v>44804</v>
      </c>
      <c r="C23" s="241">
        <v>20</v>
      </c>
      <c r="D23" s="14"/>
      <c r="E23" s="18"/>
      <c r="F23" s="18"/>
      <c r="G23" s="18"/>
      <c r="H23" s="18"/>
      <c r="I23" s="18"/>
      <c r="J23" s="18"/>
      <c r="K23" s="18"/>
      <c r="L23" s="18">
        <v>8580</v>
      </c>
      <c r="M23" s="18">
        <v>8580</v>
      </c>
      <c r="N23" s="18">
        <v>8580</v>
      </c>
      <c r="O23" s="18">
        <v>8580</v>
      </c>
      <c r="P23" s="18"/>
      <c r="R23" s="5">
        <v>44592</v>
      </c>
      <c r="S23" s="22" cm="1">
        <f t="array" ref="S23">SUMPRODUCT($D$74:$O$85*($D$91:$O$102=S$3)*($C$57:$C$68=$R4))</f>
        <v>3</v>
      </c>
      <c r="T23" s="22" cm="1">
        <f t="array" ref="T23">SUMPRODUCT($D$74:$O$85*($D$91:$O$102=T$3)*($C$57:$C$68=$R4))</f>
        <v>2</v>
      </c>
      <c r="U23" s="22" cm="1">
        <f t="array" ref="U23">SUMPRODUCT($D$74:$O$85*($D$91:$O$102=U$3)*($C$57:$C$68=$R4))</f>
        <v>2</v>
      </c>
      <c r="V23" s="22" cm="1">
        <f t="array" ref="V23">SUMPRODUCT($D$74:$O$85*($D$91:$O$102=V$3)*($C$57:$C$68=$R4))</f>
        <v>2</v>
      </c>
      <c r="W23" s="22" cm="1">
        <f t="array" ref="W23">SUMPRODUCT($D$74:$O$85*($D$91:$O$102=W$3)*($C$57:$C$68=$R4))</f>
        <v>2</v>
      </c>
      <c r="X23" s="22" cm="1">
        <f t="array" ref="X23">SUMPRODUCT($D$74:$O$85*($D$91:$O$102=X$3)*($C$57:$C$68=$R4))</f>
        <v>2</v>
      </c>
      <c r="Y23" s="22" cm="1">
        <f t="array" ref="Y23">SUMPRODUCT($D$74:$O$85*($D$91:$O$102=Y$3)*($C$57:$C$68=$R4))</f>
        <v>2</v>
      </c>
      <c r="Z23" s="22" cm="1">
        <f t="array" ref="Z23">SUMPRODUCT($D$74:$O$85*($D$91:$O$102=Z$3)*($C$57:$C$68=$R4))</f>
        <v>2</v>
      </c>
      <c r="AA23" s="22" cm="1">
        <f t="array" ref="AA23">SUMPRODUCT($D$74:$O$85*($D$91:$O$102=AA$3)*($C$57:$C$68=$R4))</f>
        <v>2</v>
      </c>
      <c r="AB23" s="22" cm="1">
        <f t="array" ref="AB23">SUMPRODUCT($D$74:$O$85*($D$91:$O$102=AB$3)*($C$57:$C$68=$R4))</f>
        <v>2</v>
      </c>
      <c r="AC23" s="22" cm="1">
        <f t="array" ref="AC23">SUMPRODUCT($D$74:$O$85*($D$91:$O$102=AC$3)*($C$57:$C$68=$R4))</f>
        <v>2</v>
      </c>
      <c r="AD23" s="22" cm="1">
        <f t="array" ref="AD23">SUMPRODUCT($D$74:$O$85*($D$91:$O$102=AD$3)*($C$57:$C$68=$R4))</f>
        <v>2</v>
      </c>
      <c r="AE23" s="8"/>
    </row>
    <row r="24" spans="2:31" x14ac:dyDescent="0.2">
      <c r="B24" s="195" cm="1">
        <f t="array" ref="B24">INDEX($E$3:$P$3,MATCH(TRUE,INDEX(E24:P24&lt;&gt;0,),0))</f>
        <v>44834</v>
      </c>
      <c r="C24" s="241">
        <f>C23+1</f>
        <v>21</v>
      </c>
      <c r="D24" s="13"/>
      <c r="E24" s="18"/>
      <c r="F24" s="18"/>
      <c r="G24" s="18"/>
      <c r="H24" s="18"/>
      <c r="I24" s="18"/>
      <c r="J24" s="18"/>
      <c r="K24" s="18"/>
      <c r="L24" s="18"/>
      <c r="M24" s="18">
        <v>12600</v>
      </c>
      <c r="N24" s="18">
        <v>12600</v>
      </c>
      <c r="O24" s="18">
        <v>12600</v>
      </c>
      <c r="P24" s="18">
        <v>12600</v>
      </c>
      <c r="R24" s="6">
        <f t="shared" ref="R24:R34" si="4">EOMONTH(R23,1)</f>
        <v>44620</v>
      </c>
      <c r="S24" s="22" cm="1">
        <f t="array" ref="S24">SUMPRODUCT($D$74:$O$85*($D$91:$O$102=S$3)*($C$57:$C$68=$R5))</f>
        <v>3</v>
      </c>
      <c r="T24" s="22" cm="1">
        <f t="array" ref="T24">SUMPRODUCT($D$74:$O$85*($D$91:$O$102=T$3)*($C$57:$C$68=$R5))</f>
        <v>3</v>
      </c>
      <c r="U24" s="22" cm="1">
        <f t="array" ref="U24">SUMPRODUCT($D$74:$O$85*($D$91:$O$102=U$3)*($C$57:$C$68=$R5))</f>
        <v>3</v>
      </c>
      <c r="V24" s="22" cm="1">
        <f t="array" ref="V24">SUMPRODUCT($D$74:$O$85*($D$91:$O$102=V$3)*($C$57:$C$68=$R5))</f>
        <v>3</v>
      </c>
      <c r="W24" s="22" cm="1">
        <f t="array" ref="W24">SUMPRODUCT($D$74:$O$85*($D$91:$O$102=W$3)*($C$57:$C$68=$R5))</f>
        <v>3</v>
      </c>
      <c r="X24" s="22" cm="1">
        <f t="array" ref="X24">SUMPRODUCT($D$74:$O$85*($D$91:$O$102=X$3)*($C$57:$C$68=$R5))</f>
        <v>3</v>
      </c>
      <c r="Y24" s="22" cm="1">
        <f t="array" ref="Y24">SUMPRODUCT($D$74:$O$85*($D$91:$O$102=Y$3)*($C$57:$C$68=$R5))</f>
        <v>2</v>
      </c>
      <c r="Z24" s="22" cm="1">
        <f t="array" ref="Z24">SUMPRODUCT($D$74:$O$85*($D$91:$O$102=Z$3)*($C$57:$C$68=$R5))</f>
        <v>1</v>
      </c>
      <c r="AA24" s="22" cm="1">
        <f t="array" ref="AA24">SUMPRODUCT($D$74:$O$85*($D$91:$O$102=AA$3)*($C$57:$C$68=$R5))</f>
        <v>1</v>
      </c>
      <c r="AB24" s="22" cm="1">
        <f t="array" ref="AB24">SUMPRODUCT($D$74:$O$85*($D$91:$O$102=AB$3)*($C$57:$C$68=$R5))</f>
        <v>1</v>
      </c>
      <c r="AC24" s="22" cm="1">
        <f t="array" ref="AC24">SUMPRODUCT($D$74:$O$85*($D$91:$O$102=AC$3)*($C$57:$C$68=$R5))</f>
        <v>1</v>
      </c>
      <c r="AD24" s="22" cm="1">
        <f t="array" ref="AD24">SUMPRODUCT($D$74:$O$85*($D$91:$O$102=AD$3)*($C$57:$C$68=$R5))</f>
        <v>0</v>
      </c>
      <c r="AE24" s="8"/>
    </row>
    <row r="25" spans="2:31" x14ac:dyDescent="0.2">
      <c r="B25" s="195" cm="1">
        <f t="array" ref="B25">INDEX($E$3:$P$3,MATCH(TRUE,INDEX(E25:P25&lt;&gt;0,),0))</f>
        <v>44834</v>
      </c>
      <c r="C25" s="241">
        <f t="shared" ref="C25:C34" si="5">C24+1</f>
        <v>22</v>
      </c>
      <c r="D25" s="13"/>
      <c r="E25" s="18"/>
      <c r="F25" s="18"/>
      <c r="G25" s="18"/>
      <c r="H25" s="18"/>
      <c r="I25" s="18"/>
      <c r="J25" s="18"/>
      <c r="K25" s="18"/>
      <c r="L25" s="18"/>
      <c r="M25" s="18">
        <v>8000</v>
      </c>
      <c r="N25" s="18">
        <v>8000</v>
      </c>
      <c r="O25" s="18">
        <v>8000</v>
      </c>
      <c r="P25" s="18">
        <v>8000</v>
      </c>
      <c r="R25" s="6">
        <f t="shared" si="4"/>
        <v>44651</v>
      </c>
      <c r="S25" s="22" cm="1">
        <f t="array" ref="S25">SUMPRODUCT($D$74:$O$85*($D$91:$O$102=S$3)*($C$57:$C$68=$R6))</f>
        <v>4</v>
      </c>
      <c r="T25" s="22" cm="1">
        <f t="array" ref="T25">SUMPRODUCT($D$74:$O$85*($D$91:$O$102=T$3)*($C$57:$C$68=$R6))</f>
        <v>4</v>
      </c>
      <c r="U25" s="22" cm="1">
        <f t="array" ref="U25">SUMPRODUCT($D$74:$O$85*($D$91:$O$102=U$3)*($C$57:$C$68=$R6))</f>
        <v>4</v>
      </c>
      <c r="V25" s="22" cm="1">
        <f t="array" ref="V25">SUMPRODUCT($D$74:$O$85*($D$91:$O$102=V$3)*($C$57:$C$68=$R6))</f>
        <v>4</v>
      </c>
      <c r="W25" s="22" cm="1">
        <f t="array" ref="W25">SUMPRODUCT($D$74:$O$85*($D$91:$O$102=W$3)*($C$57:$C$68=$R6))</f>
        <v>4</v>
      </c>
      <c r="X25" s="22" cm="1">
        <f t="array" ref="X25">SUMPRODUCT($D$74:$O$85*($D$91:$O$102=X$3)*($C$57:$C$68=$R6))</f>
        <v>4</v>
      </c>
      <c r="Y25" s="22" cm="1">
        <f t="array" ref="Y25">SUMPRODUCT($D$74:$O$85*($D$91:$O$102=Y$3)*($C$57:$C$68=$R6))</f>
        <v>4</v>
      </c>
      <c r="Z25" s="22" cm="1">
        <f t="array" ref="Z25">SUMPRODUCT($D$74:$O$85*($D$91:$O$102=Z$3)*($C$57:$C$68=$R6))</f>
        <v>4</v>
      </c>
      <c r="AA25" s="22" cm="1">
        <f t="array" ref="AA25">SUMPRODUCT($D$74:$O$85*($D$91:$O$102=AA$3)*($C$57:$C$68=$R6))</f>
        <v>4</v>
      </c>
      <c r="AB25" s="22" cm="1">
        <f t="array" ref="AB25">SUMPRODUCT($D$74:$O$85*($D$91:$O$102=AB$3)*($C$57:$C$68=$R6))</f>
        <v>4</v>
      </c>
      <c r="AC25" s="22" cm="1">
        <f t="array" ref="AC25">SUMPRODUCT($D$74:$O$85*($D$91:$O$102=AC$3)*($C$57:$C$68=$R6))</f>
        <v>0</v>
      </c>
      <c r="AD25" s="22" cm="1">
        <f t="array" ref="AD25">SUMPRODUCT($D$74:$O$85*($D$91:$O$102=AD$3)*($C$57:$C$68=$R6))</f>
        <v>0</v>
      </c>
      <c r="AE25" s="8"/>
    </row>
    <row r="26" spans="2:31" x14ac:dyDescent="0.2">
      <c r="B26" s="195" cm="1">
        <f t="array" ref="B26">INDEX($E$3:$P$3,MATCH(TRUE,INDEX(E26:P26&lt;&gt;0,),0))</f>
        <v>44865</v>
      </c>
      <c r="C26" s="241">
        <f t="shared" si="5"/>
        <v>23</v>
      </c>
      <c r="D26" s="13"/>
      <c r="E26" s="18"/>
      <c r="F26" s="18"/>
      <c r="G26" s="18"/>
      <c r="H26" s="18"/>
      <c r="I26" s="18"/>
      <c r="J26" s="18"/>
      <c r="K26" s="18"/>
      <c r="L26" s="18"/>
      <c r="M26" s="18"/>
      <c r="N26" s="18">
        <v>17820</v>
      </c>
      <c r="O26" s="18">
        <v>17820</v>
      </c>
      <c r="P26" s="18">
        <v>17820</v>
      </c>
      <c r="R26" s="6">
        <f t="shared" si="4"/>
        <v>44681</v>
      </c>
      <c r="S26" s="22" cm="1">
        <f t="array" ref="S26">SUMPRODUCT($D$74:$O$85*($D$91:$O$102=S$3)*($C$57:$C$68=$R7))</f>
        <v>2</v>
      </c>
      <c r="T26" s="22" cm="1">
        <f t="array" ref="T26">SUMPRODUCT($D$74:$O$85*($D$91:$O$102=T$3)*($C$57:$C$68=$R7))</f>
        <v>2</v>
      </c>
      <c r="U26" s="22" cm="1">
        <f t="array" ref="U26">SUMPRODUCT($D$74:$O$85*($D$91:$O$102=U$3)*($C$57:$C$68=$R7))</f>
        <v>2</v>
      </c>
      <c r="V26" s="22" cm="1">
        <f t="array" ref="V26">SUMPRODUCT($D$74:$O$85*($D$91:$O$102=V$3)*($C$57:$C$68=$R7))</f>
        <v>2</v>
      </c>
      <c r="W26" s="22" cm="1">
        <f t="array" ref="W26">SUMPRODUCT($D$74:$O$85*($D$91:$O$102=W$3)*($C$57:$C$68=$R7))</f>
        <v>2</v>
      </c>
      <c r="X26" s="22" cm="1">
        <f t="array" ref="X26">SUMPRODUCT($D$74:$O$85*($D$91:$O$102=X$3)*($C$57:$C$68=$R7))</f>
        <v>1</v>
      </c>
      <c r="Y26" s="22" cm="1">
        <f t="array" ref="Y26">SUMPRODUCT($D$74:$O$85*($D$91:$O$102=Y$3)*($C$57:$C$68=$R7))</f>
        <v>1</v>
      </c>
      <c r="Z26" s="22" cm="1">
        <f t="array" ref="Z26">SUMPRODUCT($D$74:$O$85*($D$91:$O$102=Z$3)*($C$57:$C$68=$R7))</f>
        <v>1</v>
      </c>
      <c r="AA26" s="22" cm="1">
        <f t="array" ref="AA26">SUMPRODUCT($D$74:$O$85*($D$91:$O$102=AA$3)*($C$57:$C$68=$R7))</f>
        <v>1</v>
      </c>
      <c r="AB26" s="22" cm="1">
        <f t="array" ref="AB26">SUMPRODUCT($D$74:$O$85*($D$91:$O$102=AB$3)*($C$57:$C$68=$R7))</f>
        <v>0</v>
      </c>
      <c r="AC26" s="22" cm="1">
        <f t="array" ref="AC26">SUMPRODUCT($D$74:$O$85*($D$91:$O$102=AC$3)*($C$57:$C$68=$R7))</f>
        <v>0</v>
      </c>
      <c r="AD26" s="22" cm="1">
        <f t="array" ref="AD26">SUMPRODUCT($D$74:$O$85*($D$91:$O$102=AD$3)*($C$57:$C$68=$R7))</f>
        <v>0</v>
      </c>
      <c r="AE26" s="8"/>
    </row>
    <row r="27" spans="2:31" x14ac:dyDescent="0.2">
      <c r="B27" s="195" cm="1">
        <f t="array" ref="B27">INDEX($E$3:$P$3,MATCH(TRUE,INDEX(E27:P27&lt;&gt;0,),0))</f>
        <v>44865</v>
      </c>
      <c r="C27" s="241">
        <f t="shared" si="5"/>
        <v>24</v>
      </c>
      <c r="D27" s="13"/>
      <c r="E27" s="18"/>
      <c r="F27" s="18"/>
      <c r="G27" s="18"/>
      <c r="H27" s="18"/>
      <c r="I27" s="18"/>
      <c r="J27" s="18"/>
      <c r="K27" s="18"/>
      <c r="L27" s="18"/>
      <c r="M27" s="18"/>
      <c r="N27" s="18">
        <v>12150</v>
      </c>
      <c r="O27" s="18">
        <v>12150</v>
      </c>
      <c r="P27" s="18"/>
      <c r="R27" s="6">
        <f t="shared" si="4"/>
        <v>44712</v>
      </c>
      <c r="S27" s="22" cm="1">
        <f t="array" ref="S27">SUMPRODUCT($D$74:$O$85*($D$91:$O$102=S$3)*($C$57:$C$68=$R8))</f>
        <v>2</v>
      </c>
      <c r="T27" s="22" cm="1">
        <f t="array" ref="T27">SUMPRODUCT($D$74:$O$85*($D$91:$O$102=T$3)*($C$57:$C$68=$R8))</f>
        <v>2</v>
      </c>
      <c r="U27" s="22" cm="1">
        <f t="array" ref="U27">SUMPRODUCT($D$74:$O$85*($D$91:$O$102=U$3)*($C$57:$C$68=$R8))</f>
        <v>2</v>
      </c>
      <c r="V27" s="22" cm="1">
        <f t="array" ref="V27">SUMPRODUCT($D$74:$O$85*($D$91:$O$102=V$3)*($C$57:$C$68=$R8))</f>
        <v>2</v>
      </c>
      <c r="W27" s="22" cm="1">
        <f t="array" ref="W27">SUMPRODUCT($D$74:$O$85*($D$91:$O$102=W$3)*($C$57:$C$68=$R8))</f>
        <v>2</v>
      </c>
      <c r="X27" s="22" cm="1">
        <f t="array" ref="X27">SUMPRODUCT($D$74:$O$85*($D$91:$O$102=X$3)*($C$57:$C$68=$R8))</f>
        <v>2</v>
      </c>
      <c r="Y27" s="22" cm="1">
        <f t="array" ref="Y27">SUMPRODUCT($D$74:$O$85*($D$91:$O$102=Y$3)*($C$57:$C$68=$R8))</f>
        <v>2</v>
      </c>
      <c r="Z27" s="22" cm="1">
        <f t="array" ref="Z27">SUMPRODUCT($D$74:$O$85*($D$91:$O$102=Z$3)*($C$57:$C$68=$R8))</f>
        <v>1</v>
      </c>
      <c r="AA27" s="22" cm="1">
        <f t="array" ref="AA27">SUMPRODUCT($D$74:$O$85*($D$91:$O$102=AA$3)*($C$57:$C$68=$R8))</f>
        <v>0</v>
      </c>
      <c r="AB27" s="22" cm="1">
        <f t="array" ref="AB27">SUMPRODUCT($D$74:$O$85*($D$91:$O$102=AB$3)*($C$57:$C$68=$R8))</f>
        <v>0</v>
      </c>
      <c r="AC27" s="22" cm="1">
        <f t="array" ref="AC27">SUMPRODUCT($D$74:$O$85*($D$91:$O$102=AC$3)*($C$57:$C$68=$R8))</f>
        <v>0</v>
      </c>
      <c r="AD27" s="22" cm="1">
        <f t="array" ref="AD27">SUMPRODUCT($D$74:$O$85*($D$91:$O$102=AD$3)*($C$57:$C$68=$R8))</f>
        <v>0</v>
      </c>
      <c r="AE27" s="8"/>
    </row>
    <row r="28" spans="2:31" x14ac:dyDescent="0.2">
      <c r="B28" s="195" cm="1">
        <f t="array" ref="B28">INDEX($E$3:$P$3,MATCH(TRUE,INDEX(E28:P28&lt;&gt;0,),0))</f>
        <v>44895</v>
      </c>
      <c r="C28" s="241">
        <f t="shared" si="5"/>
        <v>25</v>
      </c>
      <c r="D28" s="13"/>
      <c r="E28" s="18"/>
      <c r="F28" s="18"/>
      <c r="G28" s="18"/>
      <c r="H28" s="18"/>
      <c r="I28" s="18"/>
      <c r="J28" s="18"/>
      <c r="K28" s="18"/>
      <c r="L28" s="18"/>
      <c r="M28" s="18"/>
      <c r="N28" s="18"/>
      <c r="O28" s="18">
        <v>7980</v>
      </c>
      <c r="P28" s="18">
        <v>7980</v>
      </c>
      <c r="R28" s="6">
        <f t="shared" si="4"/>
        <v>44742</v>
      </c>
      <c r="S28" s="22" cm="1">
        <f t="array" ref="S28">SUMPRODUCT($D$74:$O$85*($D$91:$O$102=S$3)*($C$57:$C$68=$R9))</f>
        <v>1</v>
      </c>
      <c r="T28" s="22" cm="1">
        <f t="array" ref="T28">SUMPRODUCT($D$74:$O$85*($D$91:$O$102=T$3)*($C$57:$C$68=$R9))</f>
        <v>1</v>
      </c>
      <c r="U28" s="22" cm="1">
        <f t="array" ref="U28">SUMPRODUCT($D$74:$O$85*($D$91:$O$102=U$3)*($C$57:$C$68=$R9))</f>
        <v>1</v>
      </c>
      <c r="V28" s="22" cm="1">
        <f t="array" ref="V28">SUMPRODUCT($D$74:$O$85*($D$91:$O$102=V$3)*($C$57:$C$68=$R9))</f>
        <v>1</v>
      </c>
      <c r="W28" s="22" cm="1">
        <f t="array" ref="W28">SUMPRODUCT($D$74:$O$85*($D$91:$O$102=W$3)*($C$57:$C$68=$R9))</f>
        <v>1</v>
      </c>
      <c r="X28" s="22" cm="1">
        <f t="array" ref="X28">SUMPRODUCT($D$74:$O$85*($D$91:$O$102=X$3)*($C$57:$C$68=$R9))</f>
        <v>1</v>
      </c>
      <c r="Y28" s="22" cm="1">
        <f t="array" ref="Y28">SUMPRODUCT($D$74:$O$85*($D$91:$O$102=Y$3)*($C$57:$C$68=$R9))</f>
        <v>0</v>
      </c>
      <c r="Z28" s="22" cm="1">
        <f t="array" ref="Z28">SUMPRODUCT($D$74:$O$85*($D$91:$O$102=Z$3)*($C$57:$C$68=$R9))</f>
        <v>0</v>
      </c>
      <c r="AA28" s="22" cm="1">
        <f t="array" ref="AA28">SUMPRODUCT($D$74:$O$85*($D$91:$O$102=AA$3)*($C$57:$C$68=$R9))</f>
        <v>0</v>
      </c>
      <c r="AB28" s="22" cm="1">
        <f t="array" ref="AB28">SUMPRODUCT($D$74:$O$85*($D$91:$O$102=AB$3)*($C$57:$C$68=$R9))</f>
        <v>0</v>
      </c>
      <c r="AC28" s="22" cm="1">
        <f t="array" ref="AC28">SUMPRODUCT($D$74:$O$85*($D$91:$O$102=AC$3)*($C$57:$C$68=$R9))</f>
        <v>0</v>
      </c>
      <c r="AD28" s="22" cm="1">
        <f t="array" ref="AD28">SUMPRODUCT($D$74:$O$85*($D$91:$O$102=AD$3)*($C$57:$C$68=$R9))</f>
        <v>0</v>
      </c>
      <c r="AE28" s="8"/>
    </row>
    <row r="29" spans="2:31" x14ac:dyDescent="0.2">
      <c r="B29" s="195" cm="1">
        <f t="array" ref="B29">INDEX($E$3:$P$3,MATCH(TRUE,INDEX(E29:P29&lt;&gt;0,),0))</f>
        <v>44895</v>
      </c>
      <c r="C29" s="241">
        <f t="shared" si="5"/>
        <v>26</v>
      </c>
      <c r="D29" s="13"/>
      <c r="E29" s="18"/>
      <c r="F29" s="18"/>
      <c r="G29" s="18"/>
      <c r="H29" s="18"/>
      <c r="I29" s="18"/>
      <c r="J29" s="18"/>
      <c r="K29" s="18"/>
      <c r="L29" s="18"/>
      <c r="M29" s="18"/>
      <c r="N29" s="18"/>
      <c r="O29" s="18">
        <v>10368</v>
      </c>
      <c r="P29" s="18">
        <v>10368</v>
      </c>
      <c r="R29" s="6">
        <f t="shared" si="4"/>
        <v>44773</v>
      </c>
      <c r="S29" s="22" cm="1">
        <f t="array" ref="S29">SUMPRODUCT($D$74:$O$85*($D$91:$O$102=S$3)*($C$57:$C$68=$R10))</f>
        <v>2</v>
      </c>
      <c r="T29" s="22" cm="1">
        <f t="array" ref="T29">SUMPRODUCT($D$74:$O$85*($D$91:$O$102=T$3)*($C$57:$C$68=$R10))</f>
        <v>2</v>
      </c>
      <c r="U29" s="22" cm="1">
        <f t="array" ref="U29">SUMPRODUCT($D$74:$O$85*($D$91:$O$102=U$3)*($C$57:$C$68=$R10))</f>
        <v>2</v>
      </c>
      <c r="V29" s="22" cm="1">
        <f t="array" ref="V29">SUMPRODUCT($D$74:$O$85*($D$91:$O$102=V$3)*($C$57:$C$68=$R10))</f>
        <v>2</v>
      </c>
      <c r="W29" s="22" cm="1">
        <f t="array" ref="W29">SUMPRODUCT($D$74:$O$85*($D$91:$O$102=W$3)*($C$57:$C$68=$R10))</f>
        <v>2</v>
      </c>
      <c r="X29" s="22" cm="1">
        <f t="array" ref="X29">SUMPRODUCT($D$74:$O$85*($D$91:$O$102=X$3)*($C$57:$C$68=$R10))</f>
        <v>2</v>
      </c>
      <c r="Y29" s="22" cm="1">
        <f t="array" ref="Y29">SUMPRODUCT($D$74:$O$85*($D$91:$O$102=Y$3)*($C$57:$C$68=$R10))</f>
        <v>0</v>
      </c>
      <c r="Z29" s="22" cm="1">
        <f t="array" ref="Z29">SUMPRODUCT($D$74:$O$85*($D$91:$O$102=Z$3)*($C$57:$C$68=$R10))</f>
        <v>0</v>
      </c>
      <c r="AA29" s="22" cm="1">
        <f t="array" ref="AA29">SUMPRODUCT($D$74:$O$85*($D$91:$O$102=AA$3)*($C$57:$C$68=$R10))</f>
        <v>0</v>
      </c>
      <c r="AB29" s="22" cm="1">
        <f t="array" ref="AB29">SUMPRODUCT($D$74:$O$85*($D$91:$O$102=AB$3)*($C$57:$C$68=$R10))</f>
        <v>0</v>
      </c>
      <c r="AC29" s="22" cm="1">
        <f t="array" ref="AC29">SUMPRODUCT($D$74:$O$85*($D$91:$O$102=AC$3)*($C$57:$C$68=$R10))</f>
        <v>0</v>
      </c>
      <c r="AD29" s="22" cm="1">
        <f t="array" ref="AD29">SUMPRODUCT($D$74:$O$85*($D$91:$O$102=AD$3)*($C$57:$C$68=$R10))</f>
        <v>0</v>
      </c>
      <c r="AE29" s="8"/>
    </row>
    <row r="30" spans="2:31" x14ac:dyDescent="0.2">
      <c r="B30" s="195" cm="1">
        <f t="array" ref="B30">INDEX($E$3:$P$3,MATCH(TRUE,INDEX(E30:P30&lt;&gt;0,),0))</f>
        <v>44895</v>
      </c>
      <c r="C30" s="241">
        <f t="shared" si="5"/>
        <v>27</v>
      </c>
      <c r="D30" s="13"/>
      <c r="E30" s="18"/>
      <c r="F30" s="18"/>
      <c r="G30" s="18"/>
      <c r="H30" s="18"/>
      <c r="I30" s="18"/>
      <c r="J30" s="18"/>
      <c r="K30" s="18"/>
      <c r="L30" s="18"/>
      <c r="M30" s="18"/>
      <c r="N30" s="18"/>
      <c r="O30" s="18">
        <v>20880</v>
      </c>
      <c r="P30" s="18">
        <v>20880</v>
      </c>
      <c r="R30" s="6">
        <f t="shared" si="4"/>
        <v>44804</v>
      </c>
      <c r="S30" s="22" cm="1">
        <f t="array" ref="S30">SUMPRODUCT($D$74:$O$85*($D$91:$O$102=S$3)*($C$57:$C$68=$R11))</f>
        <v>3</v>
      </c>
      <c r="T30" s="22" cm="1">
        <f t="array" ref="T30">SUMPRODUCT($D$74:$O$85*($D$91:$O$102=T$3)*($C$57:$C$68=$R11))</f>
        <v>3</v>
      </c>
      <c r="U30" s="22" cm="1">
        <f t="array" ref="U30">SUMPRODUCT($D$74:$O$85*($D$91:$O$102=U$3)*($C$57:$C$68=$R11))</f>
        <v>3</v>
      </c>
      <c r="V30" s="22" cm="1">
        <f t="array" ref="V30">SUMPRODUCT($D$74:$O$85*($D$91:$O$102=V$3)*($C$57:$C$68=$R11))</f>
        <v>3</v>
      </c>
      <c r="W30" s="22" cm="1">
        <f t="array" ref="W30">SUMPRODUCT($D$74:$O$85*($D$91:$O$102=W$3)*($C$57:$C$68=$R11))</f>
        <v>2</v>
      </c>
      <c r="X30" s="22" cm="1">
        <f t="array" ref="X30">SUMPRODUCT($D$74:$O$85*($D$91:$O$102=X$3)*($C$57:$C$68=$R11))</f>
        <v>0</v>
      </c>
      <c r="Y30" s="22" cm="1">
        <f t="array" ref="Y30">SUMPRODUCT($D$74:$O$85*($D$91:$O$102=Y$3)*($C$57:$C$68=$R11))</f>
        <v>0</v>
      </c>
      <c r="Z30" s="22" cm="1">
        <f t="array" ref="Z30">SUMPRODUCT($D$74:$O$85*($D$91:$O$102=Z$3)*($C$57:$C$68=$R11))</f>
        <v>0</v>
      </c>
      <c r="AA30" s="22" cm="1">
        <f t="array" ref="AA30">SUMPRODUCT($D$74:$O$85*($D$91:$O$102=AA$3)*($C$57:$C$68=$R11))</f>
        <v>0</v>
      </c>
      <c r="AB30" s="22" cm="1">
        <f t="array" ref="AB30">SUMPRODUCT($D$74:$O$85*($D$91:$O$102=AB$3)*($C$57:$C$68=$R11))</f>
        <v>0</v>
      </c>
      <c r="AC30" s="22" cm="1">
        <f t="array" ref="AC30">SUMPRODUCT($D$74:$O$85*($D$91:$O$102=AC$3)*($C$57:$C$68=$R11))</f>
        <v>0</v>
      </c>
      <c r="AD30" s="22" cm="1">
        <f t="array" ref="AD30">SUMPRODUCT($D$74:$O$85*($D$91:$O$102=AD$3)*($C$57:$C$68=$R11))</f>
        <v>0</v>
      </c>
      <c r="AE30" s="8"/>
    </row>
    <row r="31" spans="2:31" x14ac:dyDescent="0.2">
      <c r="B31" s="195" cm="1">
        <f t="array" ref="B31">INDEX($E$3:$P$3,MATCH(TRUE,INDEX(E31:P31&lt;&gt;0,),0))</f>
        <v>44926</v>
      </c>
      <c r="C31" s="241">
        <f t="shared" si="5"/>
        <v>28</v>
      </c>
      <c r="D31" s="13"/>
      <c r="E31" s="18"/>
      <c r="F31" s="18"/>
      <c r="G31" s="18"/>
      <c r="H31" s="18"/>
      <c r="I31" s="18"/>
      <c r="J31" s="18"/>
      <c r="K31" s="18"/>
      <c r="L31" s="18"/>
      <c r="M31" s="18"/>
      <c r="N31" s="18"/>
      <c r="O31" s="18"/>
      <c r="P31" s="18">
        <v>10020</v>
      </c>
      <c r="R31" s="6">
        <f t="shared" si="4"/>
        <v>44834</v>
      </c>
      <c r="S31" s="22" cm="1">
        <f t="array" ref="S31">SUMPRODUCT($D$74:$O$85*($D$91:$O$102=S$3)*($C$57:$C$68=$R12))</f>
        <v>2</v>
      </c>
      <c r="T31" s="22" cm="1">
        <f t="array" ref="T31">SUMPRODUCT($D$74:$O$85*($D$91:$O$102=T$3)*($C$57:$C$68=$R12))</f>
        <v>2</v>
      </c>
      <c r="U31" s="22" cm="1">
        <f t="array" ref="U31">SUMPRODUCT($D$74:$O$85*($D$91:$O$102=U$3)*($C$57:$C$68=$R12))</f>
        <v>2</v>
      </c>
      <c r="V31" s="22" cm="1">
        <f t="array" ref="V31">SUMPRODUCT($D$74:$O$85*($D$91:$O$102=V$3)*($C$57:$C$68=$R12))</f>
        <v>2</v>
      </c>
      <c r="W31" s="22" cm="1">
        <f t="array" ref="W31">SUMPRODUCT($D$74:$O$85*($D$91:$O$102=W$3)*($C$57:$C$68=$R12))</f>
        <v>0</v>
      </c>
      <c r="X31" s="22" cm="1">
        <f t="array" ref="X31">SUMPRODUCT($D$74:$O$85*($D$91:$O$102=X$3)*($C$57:$C$68=$R12))</f>
        <v>0</v>
      </c>
      <c r="Y31" s="22" cm="1">
        <f t="array" ref="Y31">SUMPRODUCT($D$74:$O$85*($D$91:$O$102=Y$3)*($C$57:$C$68=$R12))</f>
        <v>0</v>
      </c>
      <c r="Z31" s="22" cm="1">
        <f t="array" ref="Z31">SUMPRODUCT($D$74:$O$85*($D$91:$O$102=Z$3)*($C$57:$C$68=$R12))</f>
        <v>0</v>
      </c>
      <c r="AA31" s="22" cm="1">
        <f t="array" ref="AA31">SUMPRODUCT($D$74:$O$85*($D$91:$O$102=AA$3)*($C$57:$C$68=$R12))</f>
        <v>0</v>
      </c>
      <c r="AB31" s="22" cm="1">
        <f t="array" ref="AB31">SUMPRODUCT($D$74:$O$85*($D$91:$O$102=AB$3)*($C$57:$C$68=$R12))</f>
        <v>0</v>
      </c>
      <c r="AC31" s="22" cm="1">
        <f t="array" ref="AC31">SUMPRODUCT($D$74:$O$85*($D$91:$O$102=AC$3)*($C$57:$C$68=$R12))</f>
        <v>0</v>
      </c>
      <c r="AD31" s="22" cm="1">
        <f t="array" ref="AD31">SUMPRODUCT($D$74:$O$85*($D$91:$O$102=AD$3)*($C$57:$C$68=$R12))</f>
        <v>0</v>
      </c>
      <c r="AE31" s="8"/>
    </row>
    <row r="32" spans="2:31" x14ac:dyDescent="0.2">
      <c r="B32" s="195" cm="1">
        <f t="array" ref="B32">INDEX($E$3:$P$3,MATCH(TRUE,INDEX(E32:P32&lt;&gt;0,),0))</f>
        <v>44926</v>
      </c>
      <c r="C32" s="241">
        <f t="shared" si="5"/>
        <v>29</v>
      </c>
      <c r="D32" s="13"/>
      <c r="E32" s="18"/>
      <c r="F32" s="18"/>
      <c r="G32" s="18"/>
      <c r="H32" s="18"/>
      <c r="I32" s="18"/>
      <c r="J32" s="18"/>
      <c r="K32" s="18"/>
      <c r="L32" s="18"/>
      <c r="M32" s="18"/>
      <c r="N32" s="18"/>
      <c r="O32" s="18"/>
      <c r="P32" s="18">
        <v>7500</v>
      </c>
      <c r="R32" s="6">
        <f t="shared" si="4"/>
        <v>44865</v>
      </c>
      <c r="S32" s="22" cm="1">
        <f t="array" ref="S32">SUMPRODUCT($D$74:$O$85*($D$91:$O$102=S$3)*($C$57:$C$68=$R13))</f>
        <v>2</v>
      </c>
      <c r="T32" s="22" cm="1">
        <f t="array" ref="T32">SUMPRODUCT($D$74:$O$85*($D$91:$O$102=T$3)*($C$57:$C$68=$R13))</f>
        <v>2</v>
      </c>
      <c r="U32" s="22" cm="1">
        <f t="array" ref="U32">SUMPRODUCT($D$74:$O$85*($D$91:$O$102=U$3)*($C$57:$C$68=$R13))</f>
        <v>1</v>
      </c>
      <c r="V32" s="22" cm="1">
        <f t="array" ref="V32">SUMPRODUCT($D$74:$O$85*($D$91:$O$102=V$3)*($C$57:$C$68=$R13))</f>
        <v>0</v>
      </c>
      <c r="W32" s="22" cm="1">
        <f t="array" ref="W32">SUMPRODUCT($D$74:$O$85*($D$91:$O$102=W$3)*($C$57:$C$68=$R13))</f>
        <v>0</v>
      </c>
      <c r="X32" s="22" cm="1">
        <f t="array" ref="X32">SUMPRODUCT($D$74:$O$85*($D$91:$O$102=X$3)*($C$57:$C$68=$R13))</f>
        <v>0</v>
      </c>
      <c r="Y32" s="22" cm="1">
        <f t="array" ref="Y32">SUMPRODUCT($D$74:$O$85*($D$91:$O$102=Y$3)*($C$57:$C$68=$R13))</f>
        <v>0</v>
      </c>
      <c r="Z32" s="22" cm="1">
        <f t="array" ref="Z32">SUMPRODUCT($D$74:$O$85*($D$91:$O$102=Z$3)*($C$57:$C$68=$R13))</f>
        <v>0</v>
      </c>
      <c r="AA32" s="22" cm="1">
        <f t="array" ref="AA32">SUMPRODUCT($D$74:$O$85*($D$91:$O$102=AA$3)*($C$57:$C$68=$R13))</f>
        <v>0</v>
      </c>
      <c r="AB32" s="22" cm="1">
        <f t="array" ref="AB32">SUMPRODUCT($D$74:$O$85*($D$91:$O$102=AB$3)*($C$57:$C$68=$R13))</f>
        <v>0</v>
      </c>
      <c r="AC32" s="22" cm="1">
        <f t="array" ref="AC32">SUMPRODUCT($D$74:$O$85*($D$91:$O$102=AC$3)*($C$57:$C$68=$R13))</f>
        <v>0</v>
      </c>
      <c r="AD32" s="22" cm="1">
        <f t="array" ref="AD32">SUMPRODUCT($D$74:$O$85*($D$91:$O$102=AD$3)*($C$57:$C$68=$R13))</f>
        <v>0</v>
      </c>
      <c r="AE32" s="8"/>
    </row>
    <row r="33" spans="2:31" x14ac:dyDescent="0.2">
      <c r="B33" s="195" cm="1">
        <f t="array" ref="B33">INDEX($E$3:$P$3,MATCH(TRUE,INDEX(E33:P33&lt;&gt;0,),0))</f>
        <v>44926</v>
      </c>
      <c r="C33" s="241">
        <f t="shared" si="5"/>
        <v>30</v>
      </c>
      <c r="D33" s="13"/>
      <c r="E33" s="18"/>
      <c r="F33" s="18"/>
      <c r="G33" s="18"/>
      <c r="H33" s="18"/>
      <c r="I33" s="18"/>
      <c r="J33" s="18"/>
      <c r="K33" s="18"/>
      <c r="L33" s="18"/>
      <c r="M33" s="18"/>
      <c r="N33" s="18"/>
      <c r="O33" s="18"/>
      <c r="P33" s="18">
        <v>20124</v>
      </c>
      <c r="R33" s="6">
        <f t="shared" si="4"/>
        <v>44895</v>
      </c>
      <c r="S33" s="22" cm="1">
        <f t="array" ref="S33">SUMPRODUCT($D$74:$O$85*($D$91:$O$102=S$3)*($C$57:$C$68=$R14))</f>
        <v>3</v>
      </c>
      <c r="T33" s="22" cm="1">
        <f t="array" ref="T33">SUMPRODUCT($D$74:$O$85*($D$91:$O$102=T$3)*($C$57:$C$68=$R14))</f>
        <v>3</v>
      </c>
      <c r="U33" s="22" cm="1">
        <f t="array" ref="U33">SUMPRODUCT($D$74:$O$85*($D$91:$O$102=U$3)*($C$57:$C$68=$R14))</f>
        <v>0</v>
      </c>
      <c r="V33" s="22" cm="1">
        <f t="array" ref="V33">SUMPRODUCT($D$74:$O$85*($D$91:$O$102=V$3)*($C$57:$C$68=$R14))</f>
        <v>0</v>
      </c>
      <c r="W33" s="22" cm="1">
        <f t="array" ref="W33">SUMPRODUCT($D$74:$O$85*($D$91:$O$102=W$3)*($C$57:$C$68=$R14))</f>
        <v>0</v>
      </c>
      <c r="X33" s="22" cm="1">
        <f t="array" ref="X33">SUMPRODUCT($D$74:$O$85*($D$91:$O$102=X$3)*($C$57:$C$68=$R14))</f>
        <v>0</v>
      </c>
      <c r="Y33" s="22" cm="1">
        <f t="array" ref="Y33">SUMPRODUCT($D$74:$O$85*($D$91:$O$102=Y$3)*($C$57:$C$68=$R14))</f>
        <v>0</v>
      </c>
      <c r="Z33" s="22" cm="1">
        <f t="array" ref="Z33">SUMPRODUCT($D$74:$O$85*($D$91:$O$102=Z$3)*($C$57:$C$68=$R14))</f>
        <v>0</v>
      </c>
      <c r="AA33" s="22" cm="1">
        <f t="array" ref="AA33">SUMPRODUCT($D$74:$O$85*($D$91:$O$102=AA$3)*($C$57:$C$68=$R14))</f>
        <v>0</v>
      </c>
      <c r="AB33" s="22" cm="1">
        <f t="array" ref="AB33">SUMPRODUCT($D$74:$O$85*($D$91:$O$102=AB$3)*($C$57:$C$68=$R14))</f>
        <v>0</v>
      </c>
      <c r="AC33" s="22" cm="1">
        <f t="array" ref="AC33">SUMPRODUCT($D$74:$O$85*($D$91:$O$102=AC$3)*($C$57:$C$68=$R14))</f>
        <v>0</v>
      </c>
      <c r="AD33" s="22" cm="1">
        <f t="array" ref="AD33">SUMPRODUCT($D$74:$O$85*($D$91:$O$102=AD$3)*($C$57:$C$68=$R14))</f>
        <v>0</v>
      </c>
      <c r="AE33" s="8"/>
    </row>
    <row r="34" spans="2:31" ht="16" thickBot="1" x14ac:dyDescent="0.25">
      <c r="B34" s="196" cm="1">
        <f t="array" ref="B34">INDEX($E$3:$P$3,MATCH(TRUE,INDEX(E34:P34&lt;&gt;0,),0))</f>
        <v>44926</v>
      </c>
      <c r="C34" s="241">
        <f t="shared" si="5"/>
        <v>31</v>
      </c>
      <c r="D34" s="13"/>
      <c r="E34" s="18"/>
      <c r="F34" s="18"/>
      <c r="G34" s="18"/>
      <c r="H34" s="18"/>
      <c r="I34" s="18"/>
      <c r="J34" s="18"/>
      <c r="K34" s="18"/>
      <c r="L34" s="18"/>
      <c r="M34" s="18"/>
      <c r="N34" s="18"/>
      <c r="O34" s="18"/>
      <c r="P34" s="18">
        <v>7500</v>
      </c>
      <c r="R34" s="7">
        <f t="shared" si="4"/>
        <v>44926</v>
      </c>
      <c r="S34" s="22" cm="1">
        <f t="array" ref="S34">SUMPRODUCT($D$74:$O$85*($D$91:$O$102=S$3)*($C$57:$C$68=$R15))</f>
        <v>4</v>
      </c>
      <c r="T34" s="22" cm="1">
        <f t="array" ref="T34">SUMPRODUCT($D$74:$O$85*($D$91:$O$102=T$3)*($C$57:$C$68=$R15))</f>
        <v>0</v>
      </c>
      <c r="U34" s="22" cm="1">
        <f t="array" ref="U34">SUMPRODUCT($D$74:$O$85*($D$91:$O$102=U$3)*($C$57:$C$68=$R15))</f>
        <v>0</v>
      </c>
      <c r="V34" s="22" cm="1">
        <f t="array" ref="V34">SUMPRODUCT($D$74:$O$85*($D$91:$O$102=V$3)*($C$57:$C$68=$R15))</f>
        <v>0</v>
      </c>
      <c r="W34" s="22" cm="1">
        <f t="array" ref="W34">SUMPRODUCT($D$74:$O$85*($D$91:$O$102=W$3)*($C$57:$C$68=$R15))</f>
        <v>0</v>
      </c>
      <c r="X34" s="22" cm="1">
        <f t="array" ref="X34">SUMPRODUCT($D$74:$O$85*($D$91:$O$102=X$3)*($C$57:$C$68=$R15))</f>
        <v>0</v>
      </c>
      <c r="Y34" s="22" cm="1">
        <f t="array" ref="Y34">SUMPRODUCT($D$74:$O$85*($D$91:$O$102=Y$3)*($C$57:$C$68=$R15))</f>
        <v>0</v>
      </c>
      <c r="Z34" s="22" cm="1">
        <f t="array" ref="Z34">SUMPRODUCT($D$74:$O$85*($D$91:$O$102=Z$3)*($C$57:$C$68=$R15))</f>
        <v>0</v>
      </c>
      <c r="AA34" s="22" cm="1">
        <f t="array" ref="AA34">SUMPRODUCT($D$74:$O$85*($D$91:$O$102=AA$3)*($C$57:$C$68=$R15))</f>
        <v>0</v>
      </c>
      <c r="AB34" s="22" cm="1">
        <f t="array" ref="AB34">SUMPRODUCT($D$74:$O$85*($D$91:$O$102=AB$3)*($C$57:$C$68=$R15))</f>
        <v>0</v>
      </c>
      <c r="AC34" s="22" cm="1">
        <f t="array" ref="AC34">SUMPRODUCT($D$74:$O$85*($D$91:$O$102=AC$3)*($C$57:$C$68=$R15))</f>
        <v>0</v>
      </c>
      <c r="AD34" s="22" cm="1">
        <f t="array" ref="AD34">SUMPRODUCT($D$74:$O$85*($D$91:$O$102=AD$3)*($C$57:$C$68=$R15))</f>
        <v>0</v>
      </c>
    </row>
    <row r="35" spans="2:31" x14ac:dyDescent="0.2">
      <c r="S35" s="206"/>
      <c r="T35" s="206"/>
      <c r="U35" s="206"/>
      <c r="V35" s="206"/>
      <c r="W35" s="206"/>
      <c r="X35" s="206"/>
      <c r="Y35" s="206"/>
      <c r="Z35" s="206"/>
      <c r="AA35" s="206"/>
      <c r="AB35" s="206"/>
      <c r="AC35" s="206"/>
      <c r="AD35" s="206"/>
      <c r="AE35" s="15" cm="1">
        <f t="array" ref="AE35">SUM(D57:O68=-SUM(S4:AD15))</f>
        <v>0</v>
      </c>
    </row>
    <row r="36" spans="2:31" x14ac:dyDescent="0.2">
      <c r="S36" s="206"/>
      <c r="T36" s="206"/>
      <c r="U36" s="206"/>
      <c r="V36" s="206"/>
      <c r="W36" s="206"/>
      <c r="X36" s="206"/>
      <c r="Y36" s="206"/>
      <c r="Z36" s="206"/>
      <c r="AA36" s="206"/>
      <c r="AB36" s="206"/>
      <c r="AC36" s="206"/>
      <c r="AD36" s="206"/>
    </row>
    <row r="37" spans="2:31" x14ac:dyDescent="0.2">
      <c r="S37" s="206"/>
      <c r="T37" s="206"/>
      <c r="U37" s="206"/>
      <c r="V37" s="206"/>
      <c r="W37" s="206"/>
      <c r="X37" s="206"/>
      <c r="Y37" s="206"/>
      <c r="Z37" s="206"/>
      <c r="AA37" s="206"/>
      <c r="AB37" s="206"/>
      <c r="AC37" s="206"/>
      <c r="AD37" s="206"/>
    </row>
    <row r="38" spans="2:31" ht="16" thickBot="1" x14ac:dyDescent="0.25">
      <c r="C38" s="1" t="s">
        <v>7</v>
      </c>
      <c r="E38" s="2"/>
      <c r="F38" s="2"/>
      <c r="G38" s="2"/>
      <c r="H38" s="2"/>
    </row>
    <row r="39" spans="2:31" ht="16" thickBot="1" x14ac:dyDescent="0.25">
      <c r="C39" s="180" t="s">
        <v>569</v>
      </c>
      <c r="D39" s="181"/>
      <c r="E39" s="190">
        <f>SUM(D4:D34)</f>
        <v>0</v>
      </c>
      <c r="F39" s="190">
        <f>E43</f>
        <v>108960</v>
      </c>
      <c r="G39" s="190">
        <f t="shared" ref="G39:P39" si="6">F43</f>
        <v>126108</v>
      </c>
      <c r="H39" s="190">
        <f t="shared" si="6"/>
        <v>193644</v>
      </c>
      <c r="I39" s="190">
        <f t="shared" si="6"/>
        <v>203936</v>
      </c>
      <c r="J39" s="190">
        <f t="shared" si="6"/>
        <v>235232</v>
      </c>
      <c r="K39" s="190">
        <f t="shared" si="6"/>
        <v>241924</v>
      </c>
      <c r="L39" s="190">
        <f t="shared" si="6"/>
        <v>256444</v>
      </c>
      <c r="M39" s="190">
        <f t="shared" si="6"/>
        <v>277924</v>
      </c>
      <c r="N39" s="190">
        <f t="shared" si="6"/>
        <v>289656</v>
      </c>
      <c r="O39" s="190">
        <f t="shared" si="6"/>
        <v>325098</v>
      </c>
      <c r="P39" s="191">
        <f t="shared" si="6"/>
        <v>371274</v>
      </c>
      <c r="S39" s="12" t="s">
        <v>447</v>
      </c>
      <c r="T39" s="11"/>
      <c r="U39" s="11"/>
      <c r="V39" s="11"/>
      <c r="W39" s="11"/>
      <c r="X39" s="11"/>
      <c r="Y39" s="11"/>
      <c r="Z39" s="11"/>
      <c r="AA39" s="11"/>
      <c r="AB39" s="11"/>
      <c r="AC39" s="11"/>
      <c r="AD39" s="11"/>
    </row>
    <row r="40" spans="2:31" ht="16" thickBot="1" x14ac:dyDescent="0.25">
      <c r="C40" s="184" t="s">
        <v>1</v>
      </c>
      <c r="D40" s="185"/>
      <c r="E40" s="147" cm="1">
        <f t="array" ref="E40">+SUMPRODUCT(--(D$4:D$34=0),--(E$4:E$34&gt;0),E$4:E$34)</f>
        <v>108960</v>
      </c>
      <c r="F40" s="147" cm="1">
        <f t="array" ref="F40">+SUMPRODUCT(--(E$4:E$34=0),--(F$4:F$34&gt;0),F$4:F$34)</f>
        <v>26748</v>
      </c>
      <c r="G40" s="147" cm="1">
        <f t="array" ref="G40">+SUMPRODUCT(--(F$4:F$34=0),--(G$4:G$34&gt;0),G$4:G$34)</f>
        <v>67416</v>
      </c>
      <c r="H40" s="147" cm="1">
        <f t="array" ref="H40">+SUMPRODUCT(--(G$4:G$34=0),--(H$4:H$34&gt;0),H$4:H$34)</f>
        <v>10184</v>
      </c>
      <c r="I40" s="147" cm="1">
        <f t="array" ref="I40">+SUMPRODUCT(--(H$4:H$34=0),--(I$4:I$34&gt;0),I$4:I$34)</f>
        <v>29988</v>
      </c>
      <c r="J40" s="147" cm="1">
        <f t="array" ref="J40">+SUMPRODUCT(--(I$4:I$34=0),--(J$4:J$34&gt;0),J$4:J$34)</f>
        <v>5000</v>
      </c>
      <c r="K40" s="147" cm="1">
        <f t="array" ref="K40">+SUMPRODUCT(--(J$4:J$34=0),--(K$4:K$34&gt;0),K$4:K$34)</f>
        <v>14040</v>
      </c>
      <c r="L40" s="147" cm="1">
        <f t="array" ref="L40">+SUMPRODUCT(--(K$4:K$34=0),--(L$4:L$34&gt;0),L$4:L$34)</f>
        <v>33060</v>
      </c>
      <c r="M40" s="147" cm="1">
        <f t="array" ref="M40">+SUMPRODUCT(--(L$4:L$34=0),--(M$4:M$34&gt;0),M$4:M$34)</f>
        <v>20600</v>
      </c>
      <c r="N40" s="147" cm="1">
        <f t="array" ref="N40">+SUMPRODUCT(--(M$4:M$34=0),--(N$4:N$34&gt;0),N$4:N$34)</f>
        <v>29970</v>
      </c>
      <c r="O40" s="147" cm="1">
        <f t="array" ref="O40">+SUMPRODUCT(--(N$4:N$34=0),--(O$4:O$34&gt;0),O$4:O$34)</f>
        <v>39228</v>
      </c>
      <c r="P40" s="148" cm="1">
        <f t="array" ref="P40">+SUMPRODUCT(--(O$4:O$34=0),--(P$4:P$34&gt;0),P$4:P$34)</f>
        <v>45144</v>
      </c>
      <c r="R40" s="26" t="s">
        <v>448</v>
      </c>
      <c r="S40" s="9">
        <v>1</v>
      </c>
      <c r="T40" s="4">
        <f t="shared" ref="T40:AD40" si="7">S40+1</f>
        <v>2</v>
      </c>
      <c r="U40" s="4">
        <f t="shared" si="7"/>
        <v>3</v>
      </c>
      <c r="V40" s="4">
        <f t="shared" si="7"/>
        <v>4</v>
      </c>
      <c r="W40" s="4">
        <f t="shared" si="7"/>
        <v>5</v>
      </c>
      <c r="X40" s="4">
        <f t="shared" si="7"/>
        <v>6</v>
      </c>
      <c r="Y40" s="4">
        <f t="shared" si="7"/>
        <v>7</v>
      </c>
      <c r="Z40" s="4">
        <f t="shared" si="7"/>
        <v>8</v>
      </c>
      <c r="AA40" s="4">
        <f t="shared" si="7"/>
        <v>9</v>
      </c>
      <c r="AB40" s="4">
        <f t="shared" si="7"/>
        <v>10</v>
      </c>
      <c r="AC40" s="4">
        <f t="shared" si="7"/>
        <v>11</v>
      </c>
      <c r="AD40" s="10">
        <f t="shared" si="7"/>
        <v>12</v>
      </c>
    </row>
    <row r="41" spans="2:31" x14ac:dyDescent="0.2">
      <c r="C41" s="184" t="s">
        <v>2</v>
      </c>
      <c r="D41" s="185"/>
      <c r="E41" s="147" cm="1">
        <f t="array" ref="E41">+SUMPRODUCT(--(D$4:D$34&lt;&gt;0),--(E$4:E$34&gt;D$4:D$34),E$4:E$34)-SUMPRODUCT(--(D$4:D$34&lt;&gt;0),--(E$4:E$34&gt;D$4:D$34),D$4:D$34)</f>
        <v>0</v>
      </c>
      <c r="F41" s="147" cm="1">
        <f t="array" ref="F41">+SUMPRODUCT(--(E$4:E$34&lt;&gt;0),--(F$4:F$34&gt;E$4:E$34),F$4:F$34)-SUMPRODUCT(--(E$4:E$34&lt;&gt;0),--(F$4:F$34&gt;E$4:E$34),E$4:E$34)</f>
        <v>0</v>
      </c>
      <c r="G41" s="147" cm="1">
        <f t="array" ref="G41">+SUMPRODUCT(--(F$4:F$34&lt;&gt;0),--(G$4:G$34&gt;F$4:F$34),G$4:G$34)-SUMPRODUCT(--(F$4:F$34&lt;&gt;0),--(G$4:G$34&gt;F$4:F$34),F$4:F$34)</f>
        <v>120</v>
      </c>
      <c r="H41" s="147" cm="1">
        <f t="array" ref="H41">+SUMPRODUCT(--(G$4:G$34&lt;&gt;0),--(H$4:H$34&gt;G$4:G$34),H$4:H$34)-SUMPRODUCT(--(G$4:G$34&lt;&gt;0),--(H$4:H$34&gt;G$4:G$34),G$4:G$34)</f>
        <v>768</v>
      </c>
      <c r="I41" s="147" cm="1">
        <f t="array" ref="I41">+SUMPRODUCT(--(H$4:H$34&lt;&gt;0),--(I$4:I$34&gt;H$4:H$34),I$4:I$34)-SUMPRODUCT(--(H$4:H$34&lt;&gt;0),--(I$4:I$34&gt;H$4:H$34),H$4:H$34)</f>
        <v>1308</v>
      </c>
      <c r="J41" s="147" cm="1">
        <f t="array" ref="J41">+SUMPRODUCT(--(I$4:I$34&lt;&gt;0),--(J$4:J$34&gt;I$4:I$34),J$4:J$34)-SUMPRODUCT(--(I$4:I$34&lt;&gt;0),--(J$4:J$34&gt;I$4:I$34),I$4:I$34)</f>
        <v>1692</v>
      </c>
      <c r="K41" s="147" cm="1">
        <f t="array" ref="K41">+SUMPRODUCT(--(J$4:J$34&lt;&gt;0),--(K$4:K$34&gt;J$4:J$34),K$4:K$34)-SUMPRODUCT(--(J$4:J$34&lt;&gt;0),--(K$4:K$34&gt;J$4:J$34),J$4:J$34)</f>
        <v>480</v>
      </c>
      <c r="L41" s="147" cm="1">
        <f t="array" ref="L41">+SUMPRODUCT(--(K$4:K$34&lt;&gt;0),--(L$4:L$34&gt;K$4:K$34),L$4:L$34)-SUMPRODUCT(--(K$4:K$34&lt;&gt;0),--(L$4:L$34&gt;K$4:K$34),K$4:K$34)</f>
        <v>0</v>
      </c>
      <c r="M41" s="147" cm="1">
        <f t="array" ref="M41">+SUMPRODUCT(--(L$4:L$34&lt;&gt;0),--(M$4:M$34&gt;L$4:L$34),M$4:M$34)-SUMPRODUCT(--(L$4:L$34&lt;&gt;0),--(M$4:M$34&gt;L$4:L$34),L$4:L$34)</f>
        <v>2736</v>
      </c>
      <c r="N41" s="147" cm="1">
        <f t="array" ref="N41">+SUMPRODUCT(--(M$4:M$34&lt;&gt;0),--(N$4:N$34&gt;M$4:M$34),N$4:N$34)-SUMPRODUCT(--(M$4:M$34&lt;&gt;0),--(N$4:N$34&gt;M$4:M$34),M$4:M$34)</f>
        <v>5472</v>
      </c>
      <c r="O41" s="147" cm="1">
        <f t="array" ref="O41">+SUMPRODUCT(--(N$4:N$34&lt;&gt;0),--(O$4:O$34&gt;N$4:N$34),O$4:O$34)-SUMPRODUCT(--(N$4:N$34&lt;&gt;0),--(O$4:O$34&gt;N$4:N$34),N$4:N$34)</f>
        <v>7092</v>
      </c>
      <c r="P41" s="148" cm="1">
        <f t="array" ref="P41">+SUMPRODUCT(--(O$4:O$34&lt;&gt;0),--(P$4:P$34&gt;O$4:O$34),P$4:P$34)-SUMPRODUCT(--(O$4:O$34&lt;&gt;0),--(P$4:P$34&gt;O$4:O$34),O$4:O$34)</f>
        <v>3120</v>
      </c>
      <c r="R41" s="5">
        <v>44592</v>
      </c>
      <c r="S41" s="16"/>
      <c r="T41" s="17">
        <f>IFERROR(T4/$S4,"")</f>
        <v>0.91189427312775329</v>
      </c>
      <c r="U41" s="17">
        <f t="shared" ref="U41:AD41" si="8">IFERROR(U4/$S4,"")</f>
        <v>0.91189427312775329</v>
      </c>
      <c r="V41" s="17">
        <f t="shared" si="8"/>
        <v>0.91189427312775329</v>
      </c>
      <c r="W41" s="17">
        <f t="shared" si="8"/>
        <v>0.91189427312775329</v>
      </c>
      <c r="X41" s="17">
        <f t="shared" si="8"/>
        <v>0.91189427312775329</v>
      </c>
      <c r="Y41" s="17">
        <f t="shared" si="8"/>
        <v>0.91189427312775329</v>
      </c>
      <c r="Z41" s="17">
        <f t="shared" si="8"/>
        <v>0.91189427312775329</v>
      </c>
      <c r="AA41" s="17">
        <f t="shared" si="8"/>
        <v>0.91189427312775329</v>
      </c>
      <c r="AB41" s="17">
        <f t="shared" si="8"/>
        <v>0.91189427312775329</v>
      </c>
      <c r="AC41" s="17">
        <f t="shared" si="8"/>
        <v>0.91189427312775329</v>
      </c>
      <c r="AD41" s="17">
        <f t="shared" si="8"/>
        <v>0.91189427312775329</v>
      </c>
    </row>
    <row r="42" spans="2:31" x14ac:dyDescent="0.2">
      <c r="C42" s="184" t="s">
        <v>3</v>
      </c>
      <c r="D42" s="185"/>
      <c r="E42" s="147" cm="1">
        <f t="array" ref="E42">+-SUMPRODUCT(--(D$4:D$34&gt;0),--(E$4:E$34=0),D$4:D$34)+SUMPRODUCT(--(E$4:E$34&lt;&gt;0),--(E$4:E$34&lt;D$4:D$34),E$4:E$34)-SUMPRODUCT(--(E$4:E$34&lt;&gt;0),--(E$4:E$34&lt;D$4:D$34),D$4:D$34)</f>
        <v>0</v>
      </c>
      <c r="F42" s="147" cm="1">
        <f t="array" ref="F42">+-SUMPRODUCT(--(E$4:E$34&gt;0),--(F$4:F$34=0),E$4:E$34)+SUMPRODUCT(--(F$4:F$34&lt;&gt;0),--(F$4:F$34&lt;E$4:E$34),F$4:F$34)-SUMPRODUCT(--(F$4:F$34&lt;&gt;0),--(F$4:F$34&lt;E$4:E$34),E$4:E$34)</f>
        <v>-9600</v>
      </c>
      <c r="G42" s="147" cm="1">
        <f t="array" ref="G42">+-SUMPRODUCT(--(F$4:F$34&gt;0),--(G$4:G$34=0),F$4:F$34)+SUMPRODUCT(--(G$4:G$34&lt;&gt;0),--(G$4:G$34&lt;F$4:F$34),G$4:G$34)-SUMPRODUCT(--(G$4:G$34&lt;&gt;0),--(G$4:G$34&lt;F$4:F$34),F$4:F$34)</f>
        <v>0</v>
      </c>
      <c r="H42" s="147" cm="1">
        <f t="array" ref="H42">+-SUMPRODUCT(--(G$4:G$34&gt;0),--(H$4:H$34=0),G$4:G$34)+SUMPRODUCT(--(H$4:H$34&lt;&gt;0),--(H$4:H$34&lt;G$4:G$34),H$4:H$34)-SUMPRODUCT(--(H$4:H$34&lt;&gt;0),--(H$4:H$34&lt;G$4:G$34),G$4:G$34)</f>
        <v>-660</v>
      </c>
      <c r="I42" s="147" cm="1">
        <f t="array" ref="I42">+-SUMPRODUCT(--(H$4:H$34&gt;0),--(I$4:I$34=0),H$4:H$34)+SUMPRODUCT(--(I$4:I$34&lt;&gt;0),--(I$4:I$34&lt;H$4:H$34),I$4:I$34)-SUMPRODUCT(--(I$4:I$34&lt;&gt;0),--(I$4:I$34&lt;H$4:H$34),H$4:H$34)</f>
        <v>0</v>
      </c>
      <c r="J42" s="147" cm="1">
        <f t="array" ref="J42">+-SUMPRODUCT(--(I$4:I$34&gt;0),--(J$4:J$34=0),I$4:I$34)+SUMPRODUCT(--(J$4:J$34&lt;&gt;0),--(J$4:J$34&lt;I$4:I$34),J$4:J$34)-SUMPRODUCT(--(J$4:J$34&lt;&gt;0),--(J$4:J$34&lt;I$4:I$34),I$4:I$34)</f>
        <v>0</v>
      </c>
      <c r="K42" s="147" cm="1">
        <f t="array" ref="K42">+-SUMPRODUCT(--(J$4:J$34&gt;0),--(K$4:K$34=0),J$4:J$34)+SUMPRODUCT(--(K$4:K$34&lt;&gt;0),--(K$4:K$34&lt;J$4:J$34),K$4:K$34)-SUMPRODUCT(--(K$4:K$34&lt;&gt;0),--(K$4:K$34&lt;J$4:J$34),J$4:J$34)</f>
        <v>0</v>
      </c>
      <c r="L42" s="147" cm="1">
        <f t="array" ref="L42">+-SUMPRODUCT(--(K$4:K$34&gt;0),--(L$4:L$34=0),K$4:K$34)+SUMPRODUCT(--(L$4:L$34&lt;&gt;0),--(L$4:L$34&lt;K$4:K$34),L$4:L$34)-SUMPRODUCT(--(L$4:L$34&lt;&gt;0),--(L$4:L$34&lt;K$4:K$34),K$4:K$34)</f>
        <v>-11580</v>
      </c>
      <c r="M42" s="147" cm="1">
        <f t="array" ref="M42">+-SUMPRODUCT(--(L$4:L$34&gt;0),--(M$4:M$34=0),L$4:L$34)+SUMPRODUCT(--(M$4:M$34&lt;&gt;0),--(M$4:M$34&lt;L$4:L$34),M$4:M$34)-SUMPRODUCT(--(M$4:M$34&lt;&gt;0),--(M$4:M$34&lt;L$4:L$34),L$4:L$34)</f>
        <v>-11604</v>
      </c>
      <c r="N42" s="147" cm="1">
        <f t="array" ref="N42">+-SUMPRODUCT(--(M$4:M$34&gt;0),--(N$4:N$34=0),M$4:M$34)+SUMPRODUCT(--(N$4:N$34&lt;&gt;0),--(N$4:N$34&lt;M$4:M$34),N$4:N$34)-SUMPRODUCT(--(N$4:N$34&lt;&gt;0),--(N$4:N$34&lt;M$4:M$34),M$4:M$34)</f>
        <v>0</v>
      </c>
      <c r="O42" s="147" cm="1">
        <f t="array" ref="O42">+-SUMPRODUCT(--(N$4:N$34&gt;0),--(O$4:O$34=0),N$4:N$34)+SUMPRODUCT(--(O$4:O$34&lt;&gt;0),--(O$4:O$34&lt;N$4:N$34),O$4:O$34)-SUMPRODUCT(--(O$4:O$34&lt;&gt;0),--(O$4:O$34&lt;N$4:N$34),N$4:N$34)</f>
        <v>-144</v>
      </c>
      <c r="P42" s="148" cm="1">
        <f t="array" ref="P42">+-SUMPRODUCT(--(O$4:O$34&gt;0),--(P$4:P$34=0),O$4:O$34)+SUMPRODUCT(--(P$4:P$34&lt;&gt;0),--(P$4:P$34&lt;O$4:O$34),P$4:P$34)-SUMPRODUCT(--(P$4:P$34&lt;&gt;0),--(P$4:P$34&lt;O$4:O$34),O$4:O$34)</f>
        <v>-33938</v>
      </c>
      <c r="R42" s="6">
        <f t="shared" ref="R42:R52" si="9">EOMONTH(R41,1)</f>
        <v>44620</v>
      </c>
      <c r="S42" s="18"/>
      <c r="T42" s="17">
        <f t="shared" ref="T42:AC42" si="10">IFERROR(T5/$S5,"")</f>
        <v>1.0044863167339615</v>
      </c>
      <c r="U42" s="17">
        <f t="shared" si="10"/>
        <v>0.97981157469717362</v>
      </c>
      <c r="V42" s="17">
        <f t="shared" si="10"/>
        <v>1</v>
      </c>
      <c r="W42" s="17">
        <f t="shared" si="10"/>
        <v>1.0291610587707491</v>
      </c>
      <c r="X42" s="17">
        <f t="shared" si="10"/>
        <v>1.0291610587707491</v>
      </c>
      <c r="Y42" s="17">
        <f t="shared" si="10"/>
        <v>0.61417676087931805</v>
      </c>
      <c r="Z42" s="17">
        <f t="shared" si="10"/>
        <v>0.37415881561238223</v>
      </c>
      <c r="AA42" s="17">
        <f t="shared" si="10"/>
        <v>0.37415881561238223</v>
      </c>
      <c r="AB42" s="17">
        <f t="shared" si="10"/>
        <v>0.37415881561238223</v>
      </c>
      <c r="AC42" s="17">
        <f t="shared" si="10"/>
        <v>0.37415881561238223</v>
      </c>
      <c r="AD42" s="17"/>
    </row>
    <row r="43" spans="2:31" ht="16" thickBot="1" x14ac:dyDescent="0.25">
      <c r="C43" s="186" t="s">
        <v>570</v>
      </c>
      <c r="D43" s="187"/>
      <c r="E43" s="192">
        <f>SUM(E39:E42)</f>
        <v>108960</v>
      </c>
      <c r="F43" s="192">
        <f>SUM(F39:F42)</f>
        <v>126108</v>
      </c>
      <c r="G43" s="192">
        <f t="shared" ref="G43:P43" si="11">SUM(G39:G42)</f>
        <v>193644</v>
      </c>
      <c r="H43" s="192">
        <f t="shared" si="11"/>
        <v>203936</v>
      </c>
      <c r="I43" s="192">
        <f t="shared" si="11"/>
        <v>235232</v>
      </c>
      <c r="J43" s="192">
        <f t="shared" si="11"/>
        <v>241924</v>
      </c>
      <c r="K43" s="192">
        <f t="shared" si="11"/>
        <v>256444</v>
      </c>
      <c r="L43" s="192">
        <f t="shared" si="11"/>
        <v>277924</v>
      </c>
      <c r="M43" s="192">
        <f t="shared" si="11"/>
        <v>289656</v>
      </c>
      <c r="N43" s="192">
        <f t="shared" si="11"/>
        <v>325098</v>
      </c>
      <c r="O43" s="192">
        <f t="shared" si="11"/>
        <v>371274</v>
      </c>
      <c r="P43" s="193">
        <f t="shared" si="11"/>
        <v>385600</v>
      </c>
      <c r="R43" s="6">
        <f t="shared" si="9"/>
        <v>44651</v>
      </c>
      <c r="S43" s="18"/>
      <c r="T43" s="17">
        <f t="shared" ref="T43:AB43" si="12">IFERROR(T6/$S6,"")</f>
        <v>1.0113919544321823</v>
      </c>
      <c r="U43" s="17">
        <f t="shared" si="12"/>
        <v>1.0227839088643644</v>
      </c>
      <c r="V43" s="17">
        <f t="shared" si="12"/>
        <v>1.0363118547525809</v>
      </c>
      <c r="W43" s="17">
        <f t="shared" si="12"/>
        <v>1.0434318262726949</v>
      </c>
      <c r="X43" s="17">
        <f t="shared" si="12"/>
        <v>1.0363118547525809</v>
      </c>
      <c r="Y43" s="17">
        <f t="shared" si="12"/>
        <v>1.0768956924172304</v>
      </c>
      <c r="Z43" s="17">
        <f t="shared" si="12"/>
        <v>1.1580633677465291</v>
      </c>
      <c r="AA43" s="17">
        <f t="shared" si="12"/>
        <v>1.261124955500178</v>
      </c>
      <c r="AB43" s="17">
        <f t="shared" si="12"/>
        <v>1.261124955500178</v>
      </c>
      <c r="AC43" s="17"/>
      <c r="AD43" s="17"/>
    </row>
    <row r="44" spans="2:31" x14ac:dyDescent="0.2">
      <c r="R44" s="6">
        <f t="shared" si="9"/>
        <v>44681</v>
      </c>
      <c r="S44" s="18"/>
      <c r="T44" s="17">
        <f t="shared" ref="T44:AA44" si="13">IFERROR(T7/$S7,"")</f>
        <v>1</v>
      </c>
      <c r="U44" s="17">
        <f t="shared" si="13"/>
        <v>1</v>
      </c>
      <c r="V44" s="17">
        <f t="shared" si="13"/>
        <v>1</v>
      </c>
      <c r="W44" s="17">
        <f t="shared" si="13"/>
        <v>1</v>
      </c>
      <c r="X44" s="17">
        <f t="shared" si="13"/>
        <v>0.49096622152395913</v>
      </c>
      <c r="Y44" s="17">
        <f t="shared" si="13"/>
        <v>0.49096622152395913</v>
      </c>
      <c r="Z44" s="17">
        <f t="shared" si="13"/>
        <v>0.49096622152395913</v>
      </c>
      <c r="AA44" s="17">
        <f t="shared" si="13"/>
        <v>0.49096622152395913</v>
      </c>
      <c r="AB44" s="17"/>
      <c r="AC44" s="17"/>
      <c r="AD44" s="17"/>
    </row>
    <row r="45" spans="2:31" x14ac:dyDescent="0.2">
      <c r="R45" s="6">
        <f t="shared" si="9"/>
        <v>44712</v>
      </c>
      <c r="S45" s="18"/>
      <c r="T45" s="17">
        <f t="shared" ref="T45:Z45" si="14">IFERROR(T8/$S8,"")</f>
        <v>1</v>
      </c>
      <c r="U45" s="17">
        <f t="shared" si="14"/>
        <v>1</v>
      </c>
      <c r="V45" s="17">
        <f t="shared" si="14"/>
        <v>1</v>
      </c>
      <c r="W45" s="17">
        <f t="shared" si="14"/>
        <v>1</v>
      </c>
      <c r="X45" s="17">
        <f t="shared" si="14"/>
        <v>1</v>
      </c>
      <c r="Y45" s="17">
        <f t="shared" si="14"/>
        <v>1</v>
      </c>
      <c r="Z45" s="17">
        <f t="shared" si="14"/>
        <v>0.83033213285314122</v>
      </c>
      <c r="AA45" s="17"/>
      <c r="AB45" s="17"/>
      <c r="AC45" s="17"/>
      <c r="AD45" s="17"/>
    </row>
    <row r="46" spans="2:31" x14ac:dyDescent="0.2">
      <c r="R46" s="6">
        <f t="shared" si="9"/>
        <v>44742</v>
      </c>
      <c r="S46" s="18"/>
      <c r="T46" s="17"/>
      <c r="U46" s="17"/>
      <c r="V46" s="17"/>
      <c r="W46" s="17">
        <f>IFERROR(W9/$S9,"")</f>
        <v>1</v>
      </c>
      <c r="X46" s="17"/>
      <c r="Y46" s="17"/>
      <c r="Z46" s="17"/>
      <c r="AA46" s="17"/>
      <c r="AB46" s="17"/>
      <c r="AC46" s="17"/>
      <c r="AD46" s="17"/>
    </row>
    <row r="47" spans="2:31" ht="16" thickBot="1" x14ac:dyDescent="0.25">
      <c r="C47" s="3" t="s">
        <v>9</v>
      </c>
      <c r="R47" s="6">
        <f t="shared" si="9"/>
        <v>44773</v>
      </c>
      <c r="S47" s="18"/>
      <c r="T47" s="17"/>
      <c r="U47" s="17">
        <f t="shared" ref="U47:V50" si="15">IFERROR(U10/$S10,"")</f>
        <v>1</v>
      </c>
      <c r="V47" s="17">
        <f t="shared" si="15"/>
        <v>1</v>
      </c>
      <c r="W47" s="17">
        <f>IFERROR(W10/$S10,"")</f>
        <v>1</v>
      </c>
      <c r="X47" s="17">
        <f>IFERROR(X10/$S10,"")</f>
        <v>1</v>
      </c>
      <c r="Y47" s="17"/>
      <c r="Z47" s="17"/>
      <c r="AA47" s="17"/>
      <c r="AB47" s="17"/>
      <c r="AC47" s="17"/>
      <c r="AD47" s="17"/>
    </row>
    <row r="48" spans="2:31" x14ac:dyDescent="0.2">
      <c r="C48" s="180" t="s">
        <v>569</v>
      </c>
      <c r="D48" s="181"/>
      <c r="E48" s="182">
        <f>COUNT(D4:D34)</f>
        <v>0</v>
      </c>
      <c r="F48" s="182">
        <f>E51</f>
        <v>3</v>
      </c>
      <c r="G48" s="182">
        <f t="shared" ref="G48:P48" si="16">F51</f>
        <v>5</v>
      </c>
      <c r="H48" s="182">
        <f t="shared" si="16"/>
        <v>9</v>
      </c>
      <c r="I48" s="182">
        <f t="shared" si="16"/>
        <v>11</v>
      </c>
      <c r="J48" s="182">
        <f t="shared" si="16"/>
        <v>13</v>
      </c>
      <c r="K48" s="182">
        <f t="shared" si="16"/>
        <v>14</v>
      </c>
      <c r="L48" s="182">
        <f t="shared" si="16"/>
        <v>16</v>
      </c>
      <c r="M48" s="182">
        <f t="shared" si="16"/>
        <v>18</v>
      </c>
      <c r="N48" s="182">
        <f t="shared" si="16"/>
        <v>18</v>
      </c>
      <c r="O48" s="182">
        <f t="shared" si="16"/>
        <v>20</v>
      </c>
      <c r="P48" s="183">
        <f t="shared" si="16"/>
        <v>23</v>
      </c>
      <c r="R48" s="6">
        <f t="shared" si="9"/>
        <v>44804</v>
      </c>
      <c r="S48" s="18"/>
      <c r="T48" s="17">
        <f>IFERROR(T11/$S11,"")</f>
        <v>1</v>
      </c>
      <c r="U48" s="17">
        <f t="shared" si="15"/>
        <v>1</v>
      </c>
      <c r="V48" s="17">
        <f t="shared" si="15"/>
        <v>1</v>
      </c>
      <c r="W48" s="17">
        <f>IFERROR(W11/$S11,"")</f>
        <v>0.74047186932849363</v>
      </c>
      <c r="X48" s="17"/>
      <c r="Y48" s="17"/>
      <c r="Z48" s="17"/>
      <c r="AA48" s="17"/>
      <c r="AB48" s="17"/>
      <c r="AC48" s="17"/>
      <c r="AD48" s="17"/>
    </row>
    <row r="49" spans="3:30" x14ac:dyDescent="0.2">
      <c r="C49" s="184" t="s">
        <v>1</v>
      </c>
      <c r="D49" s="185"/>
      <c r="E49" s="147" cm="1">
        <f t="array" ref="E49">SUMPRODUCT(--(D$4:D$34=0),--(E$4:E$34&gt;0))</f>
        <v>3</v>
      </c>
      <c r="F49" s="147" cm="1">
        <f t="array" ref="F49">SUMPRODUCT(--(E$4:E$34=0),--(F$4:F$34&gt;0))</f>
        <v>3</v>
      </c>
      <c r="G49" s="147" cm="1">
        <f t="array" ref="G49">SUMPRODUCT(--(F$4:F$34=0),--(G$4:G$34&gt;0))</f>
        <v>4</v>
      </c>
      <c r="H49" s="147" cm="1">
        <f t="array" ref="H49">SUMPRODUCT(--(G$4:G$34=0),--(H$4:H$34&gt;0))</f>
        <v>2</v>
      </c>
      <c r="I49" s="147" cm="1">
        <f t="array" ref="I49">SUMPRODUCT(--(H$4:H$34=0),--(I$4:I$34&gt;0))</f>
        <v>2</v>
      </c>
      <c r="J49" s="147" cm="1">
        <f t="array" ref="J49">SUMPRODUCT(--(I$4:I$34=0),--(J$4:J$34&gt;0))</f>
        <v>1</v>
      </c>
      <c r="K49" s="147" cm="1">
        <f t="array" ref="K49">SUMPRODUCT(--(J$4:J$34=0),--(K$4:K$34&gt;0))</f>
        <v>2</v>
      </c>
      <c r="L49" s="147" cm="1">
        <f t="array" ref="L49">SUMPRODUCT(--(K$4:K$34=0),--(L$4:L$34&gt;0))</f>
        <v>3</v>
      </c>
      <c r="M49" s="147" cm="1">
        <f t="array" ref="M49">SUMPRODUCT(--(L$4:L$34=0),--(M$4:M$34&gt;0))</f>
        <v>2</v>
      </c>
      <c r="N49" s="147" cm="1">
        <f t="array" ref="N49">SUMPRODUCT(--(M$4:M$34=0),--(N$4:N$34&gt;0))</f>
        <v>2</v>
      </c>
      <c r="O49" s="147" cm="1">
        <f t="array" ref="O49">SUMPRODUCT(--(N$4:N$34=0),--(O$4:O$34&gt;0))</f>
        <v>3</v>
      </c>
      <c r="P49" s="148" cm="1">
        <f t="array" ref="P49">SUMPRODUCT(--(O$4:O$34=0),--(P$4:P$34&gt;0))</f>
        <v>4</v>
      </c>
      <c r="R49" s="6">
        <f t="shared" si="9"/>
        <v>44834</v>
      </c>
      <c r="S49" s="18"/>
      <c r="T49" s="17">
        <f>IFERROR(T12/$S12,"")</f>
        <v>1</v>
      </c>
      <c r="U49" s="17">
        <f t="shared" si="15"/>
        <v>1</v>
      </c>
      <c r="V49" s="17">
        <f t="shared" si="15"/>
        <v>1</v>
      </c>
      <c r="W49" s="17">
        <f>IFERROR(W12/$S12,"")</f>
        <v>0</v>
      </c>
      <c r="X49" s="17"/>
      <c r="Y49" s="17"/>
      <c r="Z49" s="17"/>
      <c r="AA49" s="17"/>
      <c r="AB49" s="17"/>
      <c r="AC49" s="17"/>
      <c r="AD49" s="17"/>
    </row>
    <row r="50" spans="3:30" x14ac:dyDescent="0.2">
      <c r="C50" s="184" t="s">
        <v>3</v>
      </c>
      <c r="D50" s="185"/>
      <c r="E50" s="147" cm="1">
        <f t="array" ref="E50">-SUMPRODUCT(--(D$4:D$34&gt;0),--(E$4:E$34=0))</f>
        <v>0</v>
      </c>
      <c r="F50" s="147" cm="1">
        <f t="array" ref="F50">-SUMPRODUCT(--(E$4:E$34&gt;0),--(F$4:F$34=0))</f>
        <v>-1</v>
      </c>
      <c r="G50" s="147" cm="1">
        <f t="array" ref="G50">-SUMPRODUCT(--(F$4:F$34&gt;0),--(G$4:G$34=0))</f>
        <v>0</v>
      </c>
      <c r="H50" s="147" cm="1">
        <f t="array" ref="H50">-SUMPRODUCT(--(G$4:G$34&gt;0),--(H$4:H$34=0))</f>
        <v>0</v>
      </c>
      <c r="I50" s="147" cm="1">
        <f t="array" ref="I50">-SUMPRODUCT(--(H$4:H$34&gt;0),--(I$4:I$34=0))</f>
        <v>0</v>
      </c>
      <c r="J50" s="147" cm="1">
        <f t="array" ref="J50">-SUMPRODUCT(--(I$4:I$34&gt;0),--(J$4:J$34=0))</f>
        <v>0</v>
      </c>
      <c r="K50" s="147" cm="1">
        <f t="array" ref="K50">-SUMPRODUCT(--(J$4:J$34&gt;0),--(K$4:K$34=0))</f>
        <v>0</v>
      </c>
      <c r="L50" s="147" cm="1">
        <f t="array" ref="L50">-SUMPRODUCT(--(K$4:K$34&gt;0),--(L$4:L$34=0))</f>
        <v>-1</v>
      </c>
      <c r="M50" s="147" cm="1">
        <f t="array" ref="M50">-SUMPRODUCT(--(L$4:L$34&gt;0),--(M$4:M$34=0))</f>
        <v>-2</v>
      </c>
      <c r="N50" s="147" cm="1">
        <f t="array" ref="N50">-SUMPRODUCT(--(M$4:M$34&gt;0),--(N$4:N$34=0))</f>
        <v>0</v>
      </c>
      <c r="O50" s="147" cm="1">
        <f t="array" ref="O50">-SUMPRODUCT(--(N$4:N$34&gt;0),--(O$4:O$34=0))</f>
        <v>0</v>
      </c>
      <c r="P50" s="148" cm="1">
        <f t="array" ref="P50">-SUMPRODUCT(--(O$4:O$34&gt;0),--(P$4:P$34=0))</f>
        <v>-4</v>
      </c>
      <c r="R50" s="6">
        <f t="shared" si="9"/>
        <v>44865</v>
      </c>
      <c r="S50" s="18"/>
      <c r="T50" s="17">
        <f>IFERROR(T13/$S13,"")</f>
        <v>1</v>
      </c>
      <c r="U50" s="17">
        <f t="shared" si="15"/>
        <v>0.59459459459459463</v>
      </c>
      <c r="V50" s="17">
        <f t="shared" si="15"/>
        <v>0</v>
      </c>
      <c r="W50" s="17"/>
      <c r="X50" s="17"/>
      <c r="Y50" s="17"/>
      <c r="Z50" s="17"/>
      <c r="AA50" s="17"/>
      <c r="AB50" s="17"/>
      <c r="AC50" s="17"/>
      <c r="AD50" s="17"/>
    </row>
    <row r="51" spans="3:30" ht="16" thickBot="1" x14ac:dyDescent="0.25">
      <c r="C51" s="186" t="s">
        <v>570</v>
      </c>
      <c r="D51" s="187"/>
      <c r="E51" s="188">
        <f t="shared" ref="E51:P51" si="17">SUM(E48:E50)</f>
        <v>3</v>
      </c>
      <c r="F51" s="188">
        <f t="shared" si="17"/>
        <v>5</v>
      </c>
      <c r="G51" s="188">
        <f t="shared" si="17"/>
        <v>9</v>
      </c>
      <c r="H51" s="188">
        <f t="shared" si="17"/>
        <v>11</v>
      </c>
      <c r="I51" s="188">
        <f t="shared" si="17"/>
        <v>13</v>
      </c>
      <c r="J51" s="188">
        <f t="shared" si="17"/>
        <v>14</v>
      </c>
      <c r="K51" s="188">
        <f t="shared" si="17"/>
        <v>16</v>
      </c>
      <c r="L51" s="188">
        <f t="shared" si="17"/>
        <v>18</v>
      </c>
      <c r="M51" s="188">
        <f t="shared" si="17"/>
        <v>18</v>
      </c>
      <c r="N51" s="188">
        <f t="shared" si="17"/>
        <v>20</v>
      </c>
      <c r="O51" s="188">
        <f t="shared" si="17"/>
        <v>23</v>
      </c>
      <c r="P51" s="189">
        <f t="shared" si="17"/>
        <v>23</v>
      </c>
      <c r="R51" s="6">
        <f t="shared" si="9"/>
        <v>44895</v>
      </c>
      <c r="S51" s="18"/>
      <c r="T51" s="17">
        <f>IFERROR(T14/$S14,"")</f>
        <v>1</v>
      </c>
      <c r="U51" s="17"/>
      <c r="V51" s="17"/>
      <c r="W51" s="17"/>
      <c r="X51" s="17"/>
      <c r="Y51" s="17"/>
      <c r="Z51" s="17"/>
      <c r="AA51" s="17"/>
      <c r="AB51" s="17"/>
      <c r="AC51" s="17"/>
      <c r="AD51" s="17"/>
    </row>
    <row r="52" spans="3:30" ht="16" thickBot="1" x14ac:dyDescent="0.25">
      <c r="R52" s="7">
        <f t="shared" si="9"/>
        <v>44926</v>
      </c>
      <c r="S52" s="18"/>
      <c r="T52" s="17"/>
      <c r="U52" s="17"/>
      <c r="V52" s="17"/>
      <c r="W52" s="17"/>
      <c r="X52" s="17"/>
      <c r="Y52" s="17"/>
      <c r="Z52" s="17"/>
      <c r="AA52" s="17"/>
      <c r="AB52" s="17"/>
      <c r="AC52" s="17"/>
      <c r="AD52" s="17"/>
    </row>
    <row r="53" spans="3:30" x14ac:dyDescent="0.2">
      <c r="R53" s="1" t="s">
        <v>457</v>
      </c>
      <c r="S53" s="1"/>
      <c r="T53" s="23">
        <f>AVERAGE(T41:T52)</f>
        <v>0.99197472714376644</v>
      </c>
      <c r="U53" s="23">
        <f t="shared" ref="U53:AD53" si="18">AVERAGE(U41:U52)</f>
        <v>0.94545381680932061</v>
      </c>
      <c r="V53" s="23">
        <f t="shared" si="18"/>
        <v>0.88313401420892612</v>
      </c>
      <c r="W53" s="23">
        <f t="shared" si="18"/>
        <v>0.85832878083329911</v>
      </c>
      <c r="X53" s="23">
        <f t="shared" si="18"/>
        <v>0.91138890136250694</v>
      </c>
      <c r="Y53" s="23">
        <f t="shared" si="18"/>
        <v>0.81878658958965223</v>
      </c>
      <c r="Z53" s="23">
        <f t="shared" si="18"/>
        <v>0.75308296217275295</v>
      </c>
      <c r="AA53" s="23">
        <f t="shared" si="18"/>
        <v>0.75953606644106808</v>
      </c>
      <c r="AB53" s="23">
        <f t="shared" si="18"/>
        <v>0.84905934808010441</v>
      </c>
      <c r="AC53" s="23">
        <f t="shared" si="18"/>
        <v>0.64302654437006779</v>
      </c>
      <c r="AD53" s="23">
        <f t="shared" si="18"/>
        <v>0.91189427312775329</v>
      </c>
    </row>
    <row r="54" spans="3:30" x14ac:dyDescent="0.2">
      <c r="R54" s="1" t="s">
        <v>458</v>
      </c>
      <c r="T54" s="23">
        <f>MEDIAN(T41:T52)</f>
        <v>1</v>
      </c>
      <c r="U54" s="23">
        <f t="shared" ref="U54:AD54" si="19">MEDIAN(U41:U52)</f>
        <v>1</v>
      </c>
      <c r="V54" s="23">
        <f t="shared" si="19"/>
        <v>1</v>
      </c>
      <c r="W54" s="23">
        <f t="shared" si="19"/>
        <v>1</v>
      </c>
      <c r="X54" s="23">
        <f t="shared" si="19"/>
        <v>1</v>
      </c>
      <c r="Y54" s="23">
        <f t="shared" si="19"/>
        <v>0.91189427312775329</v>
      </c>
      <c r="Z54" s="23">
        <f t="shared" si="19"/>
        <v>0.83033213285314122</v>
      </c>
      <c r="AA54" s="23">
        <f t="shared" si="19"/>
        <v>0.70143024732585624</v>
      </c>
      <c r="AB54" s="23">
        <f t="shared" si="19"/>
        <v>0.91189427312775329</v>
      </c>
      <c r="AC54" s="23">
        <f t="shared" si="19"/>
        <v>0.64302654437006779</v>
      </c>
      <c r="AD54" s="23">
        <f t="shared" si="19"/>
        <v>0.91189427312775329</v>
      </c>
    </row>
    <row r="55" spans="3:30" ht="16" thickBot="1" x14ac:dyDescent="0.25">
      <c r="C55" s="1" t="s">
        <v>1921</v>
      </c>
      <c r="P55" s="146"/>
    </row>
    <row r="56" spans="3:30" ht="16" thickBot="1" x14ac:dyDescent="0.25">
      <c r="C56" s="26"/>
      <c r="D56" s="198" cm="1">
        <f t="array" ref="D56:O56">TRANSPOSE(C57:C68)</f>
        <v>44592</v>
      </c>
      <c r="E56" s="199">
        <v>44620</v>
      </c>
      <c r="F56" s="199">
        <v>44651</v>
      </c>
      <c r="G56" s="199">
        <v>44681</v>
      </c>
      <c r="H56" s="199">
        <v>44712</v>
      </c>
      <c r="I56" s="199">
        <v>44742</v>
      </c>
      <c r="J56" s="199">
        <v>44773</v>
      </c>
      <c r="K56" s="199">
        <v>44804</v>
      </c>
      <c r="L56" s="199">
        <v>44834</v>
      </c>
      <c r="M56" s="199">
        <v>44865</v>
      </c>
      <c r="N56" s="199">
        <v>44895</v>
      </c>
      <c r="O56" s="200">
        <v>44926</v>
      </c>
      <c r="P56" s="146"/>
      <c r="S56" s="12" t="s">
        <v>447</v>
      </c>
      <c r="T56" s="11"/>
      <c r="U56" s="11"/>
      <c r="V56" s="11"/>
      <c r="W56" s="11"/>
      <c r="X56" s="11"/>
      <c r="Y56" s="11"/>
      <c r="Z56" s="11"/>
      <c r="AA56" s="11"/>
      <c r="AB56" s="11"/>
      <c r="AC56" s="11"/>
      <c r="AD56" s="11"/>
    </row>
    <row r="57" spans="3:30" ht="16" thickBot="1" x14ac:dyDescent="0.25">
      <c r="C57" s="5">
        <v>44592</v>
      </c>
      <c r="D57" s="201">
        <f t="shared" ref="D57:O57" si="20">SUMIF($B$4:$B$34,$C57,E$4:E$34)</f>
        <v>108960</v>
      </c>
      <c r="E57" s="16">
        <f t="shared" si="20"/>
        <v>99360</v>
      </c>
      <c r="F57" s="16">
        <f t="shared" si="20"/>
        <v>99360</v>
      </c>
      <c r="G57" s="16">
        <f t="shared" si="20"/>
        <v>99360</v>
      </c>
      <c r="H57" s="16">
        <f t="shared" si="20"/>
        <v>99360</v>
      </c>
      <c r="I57" s="16">
        <f t="shared" si="20"/>
        <v>99360</v>
      </c>
      <c r="J57" s="16">
        <f t="shared" si="20"/>
        <v>99360</v>
      </c>
      <c r="K57" s="16">
        <f t="shared" si="20"/>
        <v>99360</v>
      </c>
      <c r="L57" s="16">
        <f t="shared" si="20"/>
        <v>99360</v>
      </c>
      <c r="M57" s="16">
        <f t="shared" si="20"/>
        <v>99360</v>
      </c>
      <c r="N57" s="16">
        <f t="shared" si="20"/>
        <v>99360</v>
      </c>
      <c r="O57" s="16">
        <f t="shared" si="20"/>
        <v>99360</v>
      </c>
      <c r="R57" s="1" t="s">
        <v>10</v>
      </c>
      <c r="S57" s="9">
        <v>1</v>
      </c>
      <c r="T57" s="4">
        <f t="shared" ref="T57:AD57" si="21">S57+1</f>
        <v>2</v>
      </c>
      <c r="U57" s="4">
        <f t="shared" si="21"/>
        <v>3</v>
      </c>
      <c r="V57" s="4">
        <f t="shared" si="21"/>
        <v>4</v>
      </c>
      <c r="W57" s="4">
        <f t="shared" si="21"/>
        <v>5</v>
      </c>
      <c r="X57" s="4">
        <f t="shared" si="21"/>
        <v>6</v>
      </c>
      <c r="Y57" s="4">
        <f t="shared" si="21"/>
        <v>7</v>
      </c>
      <c r="Z57" s="4">
        <f t="shared" si="21"/>
        <v>8</v>
      </c>
      <c r="AA57" s="4">
        <f t="shared" si="21"/>
        <v>9</v>
      </c>
      <c r="AB57" s="4">
        <f t="shared" si="21"/>
        <v>10</v>
      </c>
      <c r="AC57" s="4">
        <f t="shared" si="21"/>
        <v>11</v>
      </c>
      <c r="AD57" s="10">
        <f t="shared" si="21"/>
        <v>12</v>
      </c>
    </row>
    <row r="58" spans="3:30" x14ac:dyDescent="0.2">
      <c r="C58" s="6">
        <f t="shared" ref="C58:C68" si="22">EOMONTH(C57,1)</f>
        <v>44620</v>
      </c>
      <c r="D58" s="201">
        <f t="shared" ref="D58:O58" si="23">SUMIF($B$4:$B$34,$C58,E$4:E$34)</f>
        <v>0</v>
      </c>
      <c r="E58" s="16">
        <f t="shared" si="23"/>
        <v>26748</v>
      </c>
      <c r="F58" s="16">
        <f t="shared" si="23"/>
        <v>26868</v>
      </c>
      <c r="G58" s="16">
        <f t="shared" si="23"/>
        <v>26208</v>
      </c>
      <c r="H58" s="16">
        <f t="shared" si="23"/>
        <v>26748</v>
      </c>
      <c r="I58" s="16">
        <f t="shared" si="23"/>
        <v>27528</v>
      </c>
      <c r="J58" s="16">
        <f t="shared" si="23"/>
        <v>27528</v>
      </c>
      <c r="K58" s="16">
        <f t="shared" si="23"/>
        <v>16428</v>
      </c>
      <c r="L58" s="16">
        <f t="shared" si="23"/>
        <v>10008</v>
      </c>
      <c r="M58" s="16">
        <f t="shared" si="23"/>
        <v>10008</v>
      </c>
      <c r="N58" s="16">
        <f t="shared" si="23"/>
        <v>10008</v>
      </c>
      <c r="O58" s="16">
        <f t="shared" si="23"/>
        <v>10008</v>
      </c>
      <c r="R58" s="5">
        <v>44592</v>
      </c>
      <c r="S58" s="16"/>
      <c r="T58" s="17">
        <f>IFERROR(T23/$S23,"")</f>
        <v>0.66666666666666663</v>
      </c>
      <c r="U58" s="17">
        <f t="shared" ref="U58:AD58" si="24">IFERROR(U23/$S23,"")</f>
        <v>0.66666666666666663</v>
      </c>
      <c r="V58" s="17">
        <f t="shared" si="24"/>
        <v>0.66666666666666663</v>
      </c>
      <c r="W58" s="17">
        <f t="shared" si="24"/>
        <v>0.66666666666666663</v>
      </c>
      <c r="X58" s="17">
        <f t="shared" si="24"/>
        <v>0.66666666666666663</v>
      </c>
      <c r="Y58" s="17">
        <f t="shared" si="24"/>
        <v>0.66666666666666663</v>
      </c>
      <c r="Z58" s="17">
        <f t="shared" si="24"/>
        <v>0.66666666666666663</v>
      </c>
      <c r="AA58" s="17">
        <f t="shared" si="24"/>
        <v>0.66666666666666663</v>
      </c>
      <c r="AB58" s="17">
        <f t="shared" si="24"/>
        <v>0.66666666666666663</v>
      </c>
      <c r="AC58" s="17">
        <f t="shared" si="24"/>
        <v>0.66666666666666663</v>
      </c>
      <c r="AD58" s="17">
        <f t="shared" si="24"/>
        <v>0.66666666666666663</v>
      </c>
    </row>
    <row r="59" spans="3:30" x14ac:dyDescent="0.2">
      <c r="C59" s="6">
        <f t="shared" si="22"/>
        <v>44651</v>
      </c>
      <c r="D59" s="201">
        <f t="shared" ref="D59:O59" si="25">SUMIF($B$4:$B$34,$C59,E$4:E$34)</f>
        <v>0</v>
      </c>
      <c r="E59" s="16">
        <f t="shared" si="25"/>
        <v>0</v>
      </c>
      <c r="F59" s="16">
        <f t="shared" si="25"/>
        <v>67416</v>
      </c>
      <c r="G59" s="16">
        <f t="shared" si="25"/>
        <v>68184</v>
      </c>
      <c r="H59" s="16">
        <f t="shared" si="25"/>
        <v>68952</v>
      </c>
      <c r="I59" s="16">
        <f t="shared" si="25"/>
        <v>69864</v>
      </c>
      <c r="J59" s="16">
        <f t="shared" si="25"/>
        <v>70344</v>
      </c>
      <c r="K59" s="16">
        <f t="shared" si="25"/>
        <v>69864</v>
      </c>
      <c r="L59" s="16">
        <f t="shared" si="25"/>
        <v>72600</v>
      </c>
      <c r="M59" s="16">
        <f t="shared" si="25"/>
        <v>78072</v>
      </c>
      <c r="N59" s="16">
        <f t="shared" si="25"/>
        <v>85020</v>
      </c>
      <c r="O59" s="16">
        <f t="shared" si="25"/>
        <v>85020</v>
      </c>
      <c r="R59" s="6">
        <f t="shared" ref="R59:R69" si="26">EOMONTH(R58,1)</f>
        <v>44620</v>
      </c>
      <c r="S59" s="18"/>
      <c r="T59" s="17">
        <f t="shared" ref="T59:AC59" si="27">IFERROR(T24/$S24,"")</f>
        <v>1</v>
      </c>
      <c r="U59" s="17">
        <f t="shared" si="27"/>
        <v>1</v>
      </c>
      <c r="V59" s="17">
        <f t="shared" si="27"/>
        <v>1</v>
      </c>
      <c r="W59" s="17">
        <f t="shared" si="27"/>
        <v>1</v>
      </c>
      <c r="X59" s="17">
        <f t="shared" si="27"/>
        <v>1</v>
      </c>
      <c r="Y59" s="17">
        <f t="shared" si="27"/>
        <v>0.66666666666666663</v>
      </c>
      <c r="Z59" s="17">
        <f t="shared" si="27"/>
        <v>0.33333333333333331</v>
      </c>
      <c r="AA59" s="17">
        <f t="shared" si="27"/>
        <v>0.33333333333333331</v>
      </c>
      <c r="AB59" s="17">
        <f t="shared" si="27"/>
        <v>0.33333333333333331</v>
      </c>
      <c r="AC59" s="17">
        <f t="shared" si="27"/>
        <v>0.33333333333333331</v>
      </c>
      <c r="AD59" s="17"/>
    </row>
    <row r="60" spans="3:30" x14ac:dyDescent="0.2">
      <c r="C60" s="6">
        <f t="shared" si="22"/>
        <v>44681</v>
      </c>
      <c r="D60" s="201">
        <f t="shared" ref="D60:O60" si="28">SUMIF($B$4:$B$34,$C60,E$4:E$34)</f>
        <v>0</v>
      </c>
      <c r="E60" s="16">
        <f t="shared" si="28"/>
        <v>0</v>
      </c>
      <c r="F60" s="16">
        <f t="shared" si="28"/>
        <v>0</v>
      </c>
      <c r="G60" s="16">
        <f t="shared" si="28"/>
        <v>10184</v>
      </c>
      <c r="H60" s="16">
        <f t="shared" si="28"/>
        <v>10184</v>
      </c>
      <c r="I60" s="16">
        <f t="shared" si="28"/>
        <v>10184</v>
      </c>
      <c r="J60" s="16">
        <f t="shared" si="28"/>
        <v>10184</v>
      </c>
      <c r="K60" s="16">
        <f t="shared" si="28"/>
        <v>10184</v>
      </c>
      <c r="L60" s="16">
        <f t="shared" si="28"/>
        <v>5000</v>
      </c>
      <c r="M60" s="16">
        <f t="shared" si="28"/>
        <v>5000</v>
      </c>
      <c r="N60" s="16">
        <f t="shared" si="28"/>
        <v>5000</v>
      </c>
      <c r="O60" s="16">
        <f t="shared" si="28"/>
        <v>5000</v>
      </c>
      <c r="R60" s="6">
        <f t="shared" si="26"/>
        <v>44651</v>
      </c>
      <c r="S60" s="18"/>
      <c r="T60" s="17">
        <f t="shared" ref="T60:AB60" si="29">IFERROR(T25/$S25,"")</f>
        <v>1</v>
      </c>
      <c r="U60" s="17">
        <f t="shared" si="29"/>
        <v>1</v>
      </c>
      <c r="V60" s="17">
        <f t="shared" si="29"/>
        <v>1</v>
      </c>
      <c r="W60" s="17">
        <f t="shared" si="29"/>
        <v>1</v>
      </c>
      <c r="X60" s="17">
        <f t="shared" si="29"/>
        <v>1</v>
      </c>
      <c r="Y60" s="17">
        <f t="shared" si="29"/>
        <v>1</v>
      </c>
      <c r="Z60" s="17">
        <f t="shared" si="29"/>
        <v>1</v>
      </c>
      <c r="AA60" s="17">
        <f t="shared" si="29"/>
        <v>1</v>
      </c>
      <c r="AB60" s="17">
        <f t="shared" si="29"/>
        <v>1</v>
      </c>
      <c r="AC60" s="17"/>
      <c r="AD60" s="17"/>
    </row>
    <row r="61" spans="3:30" x14ac:dyDescent="0.2">
      <c r="C61" s="6">
        <f t="shared" si="22"/>
        <v>44712</v>
      </c>
      <c r="D61" s="201">
        <f t="shared" ref="D61:O61" si="30">SUMIF($B$4:$B$34,$C61,E$4:E$34)</f>
        <v>0</v>
      </c>
      <c r="E61" s="16">
        <f t="shared" si="30"/>
        <v>0</v>
      </c>
      <c r="F61" s="16">
        <f t="shared" si="30"/>
        <v>0</v>
      </c>
      <c r="G61" s="16">
        <f t="shared" si="30"/>
        <v>0</v>
      </c>
      <c r="H61" s="16">
        <f t="shared" si="30"/>
        <v>29988</v>
      </c>
      <c r="I61" s="16">
        <f t="shared" si="30"/>
        <v>29988</v>
      </c>
      <c r="J61" s="16">
        <f t="shared" si="30"/>
        <v>29988</v>
      </c>
      <c r="K61" s="16">
        <f t="shared" si="30"/>
        <v>29988</v>
      </c>
      <c r="L61" s="16">
        <f t="shared" si="30"/>
        <v>29988</v>
      </c>
      <c r="M61" s="16">
        <f t="shared" si="30"/>
        <v>29988</v>
      </c>
      <c r="N61" s="16">
        <f t="shared" si="30"/>
        <v>29988</v>
      </c>
      <c r="O61" s="16">
        <f t="shared" si="30"/>
        <v>24900</v>
      </c>
      <c r="R61" s="6">
        <f t="shared" si="26"/>
        <v>44681</v>
      </c>
      <c r="S61" s="18"/>
      <c r="T61" s="17">
        <f t="shared" ref="T61:AA61" si="31">IFERROR(T26/$S26,"")</f>
        <v>1</v>
      </c>
      <c r="U61" s="17">
        <f t="shared" si="31"/>
        <v>1</v>
      </c>
      <c r="V61" s="17">
        <f t="shared" si="31"/>
        <v>1</v>
      </c>
      <c r="W61" s="17">
        <f t="shared" si="31"/>
        <v>1</v>
      </c>
      <c r="X61" s="17">
        <f t="shared" si="31"/>
        <v>0.5</v>
      </c>
      <c r="Y61" s="17">
        <f t="shared" si="31"/>
        <v>0.5</v>
      </c>
      <c r="Z61" s="17">
        <f t="shared" si="31"/>
        <v>0.5</v>
      </c>
      <c r="AA61" s="17">
        <f t="shared" si="31"/>
        <v>0.5</v>
      </c>
      <c r="AB61" s="17"/>
      <c r="AC61" s="17"/>
      <c r="AD61" s="17"/>
    </row>
    <row r="62" spans="3:30" x14ac:dyDescent="0.2">
      <c r="C62" s="6">
        <f t="shared" si="22"/>
        <v>44742</v>
      </c>
      <c r="D62" s="201">
        <f t="shared" ref="D62:O62" si="32">SUMIF($B$4:$B$34,$C62,E$4:E$34)</f>
        <v>0</v>
      </c>
      <c r="E62" s="16">
        <f t="shared" si="32"/>
        <v>0</v>
      </c>
      <c r="F62" s="16">
        <f t="shared" si="32"/>
        <v>0</v>
      </c>
      <c r="G62" s="16">
        <f t="shared" si="32"/>
        <v>0</v>
      </c>
      <c r="H62" s="16">
        <f t="shared" si="32"/>
        <v>0</v>
      </c>
      <c r="I62" s="16">
        <f t="shared" si="32"/>
        <v>5000</v>
      </c>
      <c r="J62" s="16">
        <f t="shared" si="32"/>
        <v>5000</v>
      </c>
      <c r="K62" s="16">
        <f t="shared" si="32"/>
        <v>5000</v>
      </c>
      <c r="L62" s="16">
        <f t="shared" si="32"/>
        <v>5000</v>
      </c>
      <c r="M62" s="16">
        <f t="shared" si="32"/>
        <v>5000</v>
      </c>
      <c r="N62" s="16">
        <f t="shared" si="32"/>
        <v>5000</v>
      </c>
      <c r="O62" s="16">
        <f t="shared" si="32"/>
        <v>0</v>
      </c>
      <c r="R62" s="6">
        <f t="shared" si="26"/>
        <v>44712</v>
      </c>
      <c r="S62" s="18"/>
      <c r="T62" s="17">
        <f t="shared" ref="T62:Z62" si="33">IFERROR(T27/$S27,"")</f>
        <v>1</v>
      </c>
      <c r="U62" s="17">
        <f t="shared" si="33"/>
        <v>1</v>
      </c>
      <c r="V62" s="17">
        <f t="shared" si="33"/>
        <v>1</v>
      </c>
      <c r="W62" s="17">
        <f t="shared" si="33"/>
        <v>1</v>
      </c>
      <c r="X62" s="17">
        <f t="shared" si="33"/>
        <v>1</v>
      </c>
      <c r="Y62" s="17">
        <f t="shared" si="33"/>
        <v>1</v>
      </c>
      <c r="Z62" s="17">
        <f t="shared" si="33"/>
        <v>0.5</v>
      </c>
      <c r="AA62" s="17"/>
      <c r="AB62" s="17"/>
      <c r="AC62" s="17"/>
      <c r="AD62" s="17"/>
    </row>
    <row r="63" spans="3:30" x14ac:dyDescent="0.2">
      <c r="C63" s="6">
        <f t="shared" si="22"/>
        <v>44773</v>
      </c>
      <c r="D63" s="201">
        <f t="shared" ref="D63:O63" si="34">SUMIF($B$4:$B$34,$C63,E$4:E$34)</f>
        <v>0</v>
      </c>
      <c r="E63" s="16">
        <f t="shared" si="34"/>
        <v>0</v>
      </c>
      <c r="F63" s="16">
        <f t="shared" si="34"/>
        <v>0</v>
      </c>
      <c r="G63" s="16">
        <f t="shared" si="34"/>
        <v>0</v>
      </c>
      <c r="H63" s="16">
        <f t="shared" si="34"/>
        <v>0</v>
      </c>
      <c r="I63" s="16">
        <f t="shared" si="34"/>
        <v>0</v>
      </c>
      <c r="J63" s="16">
        <f t="shared" si="34"/>
        <v>14040</v>
      </c>
      <c r="K63" s="16">
        <f t="shared" si="34"/>
        <v>14040</v>
      </c>
      <c r="L63" s="16">
        <f t="shared" si="34"/>
        <v>14040</v>
      </c>
      <c r="M63" s="16">
        <f t="shared" si="34"/>
        <v>14040</v>
      </c>
      <c r="N63" s="16">
        <f t="shared" si="34"/>
        <v>14040</v>
      </c>
      <c r="O63" s="16">
        <f t="shared" si="34"/>
        <v>14040</v>
      </c>
      <c r="R63" s="6">
        <f t="shared" si="26"/>
        <v>44742</v>
      </c>
      <c r="S63" s="18"/>
      <c r="T63" s="17"/>
      <c r="U63" s="17"/>
      <c r="V63" s="17"/>
      <c r="W63" s="17"/>
      <c r="X63" s="17"/>
      <c r="Y63" s="17"/>
      <c r="Z63" s="17"/>
      <c r="AA63" s="17"/>
      <c r="AB63" s="17"/>
      <c r="AC63" s="17"/>
      <c r="AD63" s="17"/>
    </row>
    <row r="64" spans="3:30" x14ac:dyDescent="0.2">
      <c r="C64" s="6">
        <f t="shared" si="22"/>
        <v>44804</v>
      </c>
      <c r="D64" s="201">
        <f t="shared" ref="D64:O64" si="35">SUMIF($B$4:$B$34,$C64,E$4:E$34)</f>
        <v>0</v>
      </c>
      <c r="E64" s="16">
        <f t="shared" si="35"/>
        <v>0</v>
      </c>
      <c r="F64" s="16">
        <f t="shared" si="35"/>
        <v>0</v>
      </c>
      <c r="G64" s="16">
        <f t="shared" si="35"/>
        <v>0</v>
      </c>
      <c r="H64" s="16">
        <f t="shared" si="35"/>
        <v>0</v>
      </c>
      <c r="I64" s="16">
        <f t="shared" si="35"/>
        <v>0</v>
      </c>
      <c r="J64" s="16">
        <f t="shared" si="35"/>
        <v>0</v>
      </c>
      <c r="K64" s="16">
        <f t="shared" si="35"/>
        <v>33060</v>
      </c>
      <c r="L64" s="16">
        <f t="shared" si="35"/>
        <v>33060</v>
      </c>
      <c r="M64" s="16">
        <f t="shared" si="35"/>
        <v>33060</v>
      </c>
      <c r="N64" s="16">
        <f t="shared" si="35"/>
        <v>33060</v>
      </c>
      <c r="O64" s="16">
        <f t="shared" si="35"/>
        <v>24480</v>
      </c>
      <c r="R64" s="6">
        <f t="shared" si="26"/>
        <v>44773</v>
      </c>
      <c r="S64" s="18"/>
      <c r="T64" s="17"/>
      <c r="U64" s="17"/>
      <c r="V64" s="17"/>
      <c r="W64" s="17"/>
      <c r="X64" s="17"/>
      <c r="Y64" s="17"/>
      <c r="Z64" s="17"/>
      <c r="AA64" s="17"/>
      <c r="AB64" s="17"/>
      <c r="AC64" s="17"/>
      <c r="AD64" s="17"/>
    </row>
    <row r="65" spans="3:30" x14ac:dyDescent="0.2">
      <c r="C65" s="6">
        <f t="shared" si="22"/>
        <v>44834</v>
      </c>
      <c r="D65" s="201">
        <f t="shared" ref="D65:O65" si="36">SUMIF($B$4:$B$34,$C65,E$4:E$34)</f>
        <v>0</v>
      </c>
      <c r="E65" s="16">
        <f t="shared" si="36"/>
        <v>0</v>
      </c>
      <c r="F65" s="16">
        <f t="shared" si="36"/>
        <v>0</v>
      </c>
      <c r="G65" s="16">
        <f t="shared" si="36"/>
        <v>0</v>
      </c>
      <c r="H65" s="16">
        <f t="shared" si="36"/>
        <v>0</v>
      </c>
      <c r="I65" s="16">
        <f t="shared" si="36"/>
        <v>0</v>
      </c>
      <c r="J65" s="16">
        <f t="shared" si="36"/>
        <v>0</v>
      </c>
      <c r="K65" s="16">
        <f t="shared" si="36"/>
        <v>0</v>
      </c>
      <c r="L65" s="16">
        <f t="shared" si="36"/>
        <v>20600</v>
      </c>
      <c r="M65" s="16">
        <f t="shared" si="36"/>
        <v>20600</v>
      </c>
      <c r="N65" s="16">
        <f t="shared" si="36"/>
        <v>20600</v>
      </c>
      <c r="O65" s="16">
        <f t="shared" si="36"/>
        <v>20600</v>
      </c>
      <c r="R65" s="6">
        <f t="shared" si="26"/>
        <v>44804</v>
      </c>
      <c r="S65" s="18"/>
      <c r="T65" s="17">
        <f>IFERROR(T30/$S30,"")</f>
        <v>1</v>
      </c>
      <c r="U65" s="17">
        <f>IFERROR(U30/$S30,"")</f>
        <v>1</v>
      </c>
      <c r="V65" s="17">
        <f>IFERROR(V30/$S30,"")</f>
        <v>1</v>
      </c>
      <c r="W65" s="17">
        <f>IFERROR(W30/$S30,"")</f>
        <v>0.66666666666666663</v>
      </c>
      <c r="X65" s="17"/>
      <c r="Y65" s="17"/>
      <c r="Z65" s="17"/>
      <c r="AA65" s="17"/>
      <c r="AB65" s="17"/>
      <c r="AC65" s="17"/>
      <c r="AD65" s="17"/>
    </row>
    <row r="66" spans="3:30" x14ac:dyDescent="0.2">
      <c r="C66" s="6">
        <f t="shared" si="22"/>
        <v>44865</v>
      </c>
      <c r="D66" s="201">
        <f t="shared" ref="D66:O66" si="37">SUMIF($B$4:$B$34,$C66,E$4:E$34)</f>
        <v>0</v>
      </c>
      <c r="E66" s="16">
        <f t="shared" si="37"/>
        <v>0</v>
      </c>
      <c r="F66" s="16">
        <f t="shared" si="37"/>
        <v>0</v>
      </c>
      <c r="G66" s="16">
        <f t="shared" si="37"/>
        <v>0</v>
      </c>
      <c r="H66" s="16">
        <f t="shared" si="37"/>
        <v>0</v>
      </c>
      <c r="I66" s="16">
        <f t="shared" si="37"/>
        <v>0</v>
      </c>
      <c r="J66" s="16">
        <f t="shared" si="37"/>
        <v>0</v>
      </c>
      <c r="K66" s="16">
        <f t="shared" si="37"/>
        <v>0</v>
      </c>
      <c r="L66" s="16">
        <f t="shared" si="37"/>
        <v>0</v>
      </c>
      <c r="M66" s="16">
        <f t="shared" si="37"/>
        <v>29970</v>
      </c>
      <c r="N66" s="16">
        <f t="shared" si="37"/>
        <v>29970</v>
      </c>
      <c r="O66" s="16">
        <f t="shared" si="37"/>
        <v>17820</v>
      </c>
      <c r="R66" s="6">
        <f t="shared" si="26"/>
        <v>44834</v>
      </c>
      <c r="S66" s="18"/>
      <c r="T66" s="17"/>
      <c r="U66" s="17"/>
      <c r="V66" s="17"/>
      <c r="W66" s="17"/>
      <c r="X66" s="17"/>
      <c r="Y66" s="17"/>
      <c r="Z66" s="17"/>
      <c r="AA66" s="17"/>
      <c r="AB66" s="17"/>
      <c r="AC66" s="17"/>
      <c r="AD66" s="17"/>
    </row>
    <row r="67" spans="3:30" x14ac:dyDescent="0.2">
      <c r="C67" s="6">
        <f t="shared" si="22"/>
        <v>44895</v>
      </c>
      <c r="D67" s="201">
        <f t="shared" ref="D67:O67" si="38">SUMIF($B$4:$B$34,$C67,E$4:E$34)</f>
        <v>0</v>
      </c>
      <c r="E67" s="16">
        <f t="shared" si="38"/>
        <v>0</v>
      </c>
      <c r="F67" s="16">
        <f t="shared" si="38"/>
        <v>0</v>
      </c>
      <c r="G67" s="16">
        <f t="shared" si="38"/>
        <v>0</v>
      </c>
      <c r="H67" s="16">
        <f t="shared" si="38"/>
        <v>0</v>
      </c>
      <c r="I67" s="16">
        <f t="shared" si="38"/>
        <v>0</v>
      </c>
      <c r="J67" s="16">
        <f t="shared" si="38"/>
        <v>0</v>
      </c>
      <c r="K67" s="16">
        <f t="shared" si="38"/>
        <v>0</v>
      </c>
      <c r="L67" s="16">
        <f t="shared" si="38"/>
        <v>0</v>
      </c>
      <c r="M67" s="16">
        <f t="shared" si="38"/>
        <v>0</v>
      </c>
      <c r="N67" s="16">
        <f t="shared" si="38"/>
        <v>39228</v>
      </c>
      <c r="O67" s="16">
        <f t="shared" si="38"/>
        <v>39228</v>
      </c>
      <c r="R67" s="6">
        <f t="shared" si="26"/>
        <v>44865</v>
      </c>
      <c r="S67" s="18"/>
      <c r="T67" s="17">
        <f>IFERROR(T32/$S32,"")</f>
        <v>1</v>
      </c>
      <c r="U67" s="17">
        <f>IFERROR(U32/$S32,"")</f>
        <v>0.5</v>
      </c>
      <c r="V67" s="17"/>
      <c r="W67" s="17"/>
      <c r="X67" s="17"/>
      <c r="Y67" s="17"/>
      <c r="Z67" s="17"/>
      <c r="AA67" s="17"/>
      <c r="AB67" s="17"/>
      <c r="AC67" s="17"/>
      <c r="AD67" s="17"/>
    </row>
    <row r="68" spans="3:30" ht="16" thickBot="1" x14ac:dyDescent="0.25">
      <c r="C68" s="7">
        <f t="shared" si="22"/>
        <v>44926</v>
      </c>
      <c r="D68" s="202">
        <f t="shared" ref="D68:O68" si="39">SUMIF($B$4:$B$34,$C68,E$4:E$34)</f>
        <v>0</v>
      </c>
      <c r="E68" s="197">
        <f t="shared" si="39"/>
        <v>0</v>
      </c>
      <c r="F68" s="197">
        <f t="shared" si="39"/>
        <v>0</v>
      </c>
      <c r="G68" s="197">
        <f t="shared" si="39"/>
        <v>0</v>
      </c>
      <c r="H68" s="197">
        <f t="shared" si="39"/>
        <v>0</v>
      </c>
      <c r="I68" s="197">
        <f t="shared" si="39"/>
        <v>0</v>
      </c>
      <c r="J68" s="197">
        <f t="shared" si="39"/>
        <v>0</v>
      </c>
      <c r="K68" s="197">
        <f t="shared" si="39"/>
        <v>0</v>
      </c>
      <c r="L68" s="197">
        <f t="shared" si="39"/>
        <v>0</v>
      </c>
      <c r="M68" s="197">
        <f t="shared" si="39"/>
        <v>0</v>
      </c>
      <c r="N68" s="197">
        <f t="shared" si="39"/>
        <v>0</v>
      </c>
      <c r="O68" s="197">
        <f t="shared" si="39"/>
        <v>45144</v>
      </c>
      <c r="R68" s="6">
        <f t="shared" si="26"/>
        <v>44895</v>
      </c>
      <c r="S68" s="18"/>
      <c r="T68" s="17">
        <f>IFERROR(T33/$S33,"")</f>
        <v>1</v>
      </c>
      <c r="U68" s="17"/>
      <c r="V68" s="17"/>
      <c r="W68" s="17"/>
      <c r="X68" s="17"/>
      <c r="Y68" s="17"/>
      <c r="Z68" s="17"/>
      <c r="AA68" s="17"/>
      <c r="AB68" s="17"/>
      <c r="AC68" s="17"/>
      <c r="AD68" s="17"/>
    </row>
    <row r="69" spans="3:30" ht="16" thickBot="1" x14ac:dyDescent="0.25">
      <c r="C69" s="1" t="s">
        <v>6</v>
      </c>
      <c r="D69" s="203">
        <f>SUM(D57:D68)</f>
        <v>108960</v>
      </c>
      <c r="E69" s="203">
        <f t="shared" ref="E69:O69" si="40">SUM(E57:E68)</f>
        <v>126108</v>
      </c>
      <c r="F69" s="203">
        <f t="shared" si="40"/>
        <v>193644</v>
      </c>
      <c r="G69" s="203">
        <f t="shared" si="40"/>
        <v>203936</v>
      </c>
      <c r="H69" s="203">
        <f t="shared" si="40"/>
        <v>235232</v>
      </c>
      <c r="I69" s="203">
        <f t="shared" si="40"/>
        <v>241924</v>
      </c>
      <c r="J69" s="203">
        <f t="shared" si="40"/>
        <v>256444</v>
      </c>
      <c r="K69" s="203">
        <f t="shared" si="40"/>
        <v>277924</v>
      </c>
      <c r="L69" s="203">
        <f t="shared" si="40"/>
        <v>289656</v>
      </c>
      <c r="M69" s="203">
        <f t="shared" si="40"/>
        <v>325098</v>
      </c>
      <c r="N69" s="203">
        <f t="shared" si="40"/>
        <v>371274</v>
      </c>
      <c r="O69" s="203">
        <f t="shared" si="40"/>
        <v>385600</v>
      </c>
      <c r="R69" s="7">
        <f t="shared" si="26"/>
        <v>44926</v>
      </c>
      <c r="S69" s="18"/>
      <c r="T69" s="17"/>
      <c r="U69" s="17"/>
      <c r="V69" s="17"/>
      <c r="W69" s="17"/>
      <c r="X69" s="17"/>
      <c r="Y69" s="17"/>
      <c r="Z69" s="17"/>
      <c r="AA69" s="17"/>
      <c r="AB69" s="17"/>
      <c r="AC69" s="17"/>
      <c r="AD69" s="17"/>
    </row>
    <row r="70" spans="3:30" x14ac:dyDescent="0.2">
      <c r="R70" s="1" t="s">
        <v>457</v>
      </c>
      <c r="S70" s="1"/>
      <c r="T70" s="23">
        <f>AVERAGE(T58:T69)</f>
        <v>0.95833333333333326</v>
      </c>
      <c r="U70" s="23">
        <f t="shared" ref="U70:AD70" si="41">AVERAGE(U58:U69)</f>
        <v>0.88095238095238082</v>
      </c>
      <c r="V70" s="23">
        <f t="shared" si="41"/>
        <v>0.94444444444444431</v>
      </c>
      <c r="W70" s="23">
        <f t="shared" si="41"/>
        <v>0.88888888888888884</v>
      </c>
      <c r="X70" s="23">
        <f t="shared" si="41"/>
        <v>0.83333333333333326</v>
      </c>
      <c r="Y70" s="23">
        <f t="shared" si="41"/>
        <v>0.76666666666666661</v>
      </c>
      <c r="Z70" s="23">
        <f t="shared" si="41"/>
        <v>0.6</v>
      </c>
      <c r="AA70" s="23">
        <f t="shared" si="41"/>
        <v>0.625</v>
      </c>
      <c r="AB70" s="23">
        <f t="shared" si="41"/>
        <v>0.66666666666666663</v>
      </c>
      <c r="AC70" s="23">
        <f t="shared" si="41"/>
        <v>0.5</v>
      </c>
      <c r="AD70" s="23">
        <f t="shared" si="41"/>
        <v>0.66666666666666663</v>
      </c>
    </row>
    <row r="71" spans="3:30" x14ac:dyDescent="0.2">
      <c r="R71" s="1" t="s">
        <v>459</v>
      </c>
      <c r="T71" s="23">
        <f>MEDIAN(T58:T69)</f>
        <v>1</v>
      </c>
      <c r="U71" s="23">
        <f t="shared" ref="U71:AD71" si="42">MEDIAN(U58:U69)</f>
        <v>1</v>
      </c>
      <c r="V71" s="23">
        <f t="shared" si="42"/>
        <v>1</v>
      </c>
      <c r="W71" s="23">
        <f t="shared" si="42"/>
        <v>1</v>
      </c>
      <c r="X71" s="23">
        <f t="shared" si="42"/>
        <v>1</v>
      </c>
      <c r="Y71" s="23">
        <f t="shared" si="42"/>
        <v>0.66666666666666663</v>
      </c>
      <c r="Z71" s="23">
        <f t="shared" si="42"/>
        <v>0.5</v>
      </c>
      <c r="AA71" s="23">
        <f t="shared" si="42"/>
        <v>0.58333333333333326</v>
      </c>
      <c r="AB71" s="23">
        <f t="shared" si="42"/>
        <v>0.66666666666666663</v>
      </c>
      <c r="AC71" s="23">
        <f t="shared" si="42"/>
        <v>0.5</v>
      </c>
      <c r="AD71" s="23">
        <f t="shared" si="42"/>
        <v>0.66666666666666663</v>
      </c>
    </row>
    <row r="72" spans="3:30" ht="16" thickBot="1" x14ac:dyDescent="0.25">
      <c r="C72" s="1" t="s">
        <v>1922</v>
      </c>
    </row>
    <row r="73" spans="3:30" ht="16" thickBot="1" x14ac:dyDescent="0.25">
      <c r="C73" s="26"/>
      <c r="D73" s="198" cm="1">
        <f t="array" ref="D73:O73">TRANSPOSE(C74:C85)</f>
        <v>44592</v>
      </c>
      <c r="E73" s="199">
        <v>44620</v>
      </c>
      <c r="F73" s="199">
        <v>44651</v>
      </c>
      <c r="G73" s="199">
        <v>44681</v>
      </c>
      <c r="H73" s="199">
        <v>44712</v>
      </c>
      <c r="I73" s="199">
        <v>44742</v>
      </c>
      <c r="J73" s="199">
        <v>44773</v>
      </c>
      <c r="K73" s="199">
        <v>44804</v>
      </c>
      <c r="L73" s="199">
        <v>44834</v>
      </c>
      <c r="M73" s="199">
        <v>44865</v>
      </c>
      <c r="N73" s="199">
        <v>44895</v>
      </c>
      <c r="O73" s="200">
        <v>44926</v>
      </c>
    </row>
    <row r="74" spans="3:30" ht="16" thickBot="1" x14ac:dyDescent="0.25">
      <c r="C74" s="5">
        <v>44592</v>
      </c>
      <c r="D74" s="204">
        <f>COUNTIFS($B$4:$B$34,$C74,E$4:E$34,"&lt;&gt;"&amp;"")</f>
        <v>3</v>
      </c>
      <c r="E74" s="204">
        <f t="shared" ref="E74:O74" si="43">COUNTIFS($B$4:$B$34,$C74,F$4:F$34,"&lt;&gt;"&amp;"")</f>
        <v>2</v>
      </c>
      <c r="F74" s="204">
        <f t="shared" si="43"/>
        <v>2</v>
      </c>
      <c r="G74" s="204">
        <f t="shared" si="43"/>
        <v>2</v>
      </c>
      <c r="H74" s="204">
        <f t="shared" si="43"/>
        <v>2</v>
      </c>
      <c r="I74" s="204">
        <f t="shared" si="43"/>
        <v>2</v>
      </c>
      <c r="J74" s="204">
        <f t="shared" si="43"/>
        <v>2</v>
      </c>
      <c r="K74" s="204">
        <f t="shared" si="43"/>
        <v>2</v>
      </c>
      <c r="L74" s="204">
        <f t="shared" si="43"/>
        <v>2</v>
      </c>
      <c r="M74" s="204">
        <f t="shared" si="43"/>
        <v>2</v>
      </c>
      <c r="N74" s="204">
        <f t="shared" si="43"/>
        <v>2</v>
      </c>
      <c r="O74" s="204">
        <f t="shared" si="43"/>
        <v>2</v>
      </c>
      <c r="S74" s="12" t="s">
        <v>447</v>
      </c>
      <c r="T74" s="12"/>
      <c r="U74" s="12"/>
      <c r="V74" s="12"/>
      <c r="W74" s="12"/>
      <c r="X74" s="12"/>
      <c r="Y74" s="12"/>
      <c r="Z74" s="12"/>
      <c r="AA74" s="12"/>
      <c r="AB74" s="12"/>
      <c r="AC74" s="12"/>
      <c r="AD74" s="12"/>
    </row>
    <row r="75" spans="3:30" ht="16" thickBot="1" x14ac:dyDescent="0.25">
      <c r="C75" s="6">
        <f t="shared" ref="C75:C85" si="44">EOMONTH(C74,1)</f>
        <v>44620</v>
      </c>
      <c r="D75" s="204">
        <f t="shared" ref="D75:O75" si="45">COUNTIFS($B$4:$B$34,$C75,E$4:E$34,"&lt;&gt;"&amp;"")</f>
        <v>0</v>
      </c>
      <c r="E75" s="204">
        <f t="shared" si="45"/>
        <v>3</v>
      </c>
      <c r="F75" s="204">
        <f t="shared" si="45"/>
        <v>3</v>
      </c>
      <c r="G75" s="204">
        <f t="shared" si="45"/>
        <v>3</v>
      </c>
      <c r="H75" s="204">
        <f t="shared" si="45"/>
        <v>3</v>
      </c>
      <c r="I75" s="204">
        <f t="shared" si="45"/>
        <v>3</v>
      </c>
      <c r="J75" s="204">
        <f t="shared" si="45"/>
        <v>3</v>
      </c>
      <c r="K75" s="204">
        <f t="shared" si="45"/>
        <v>2</v>
      </c>
      <c r="L75" s="204">
        <f t="shared" si="45"/>
        <v>1</v>
      </c>
      <c r="M75" s="204">
        <f t="shared" si="45"/>
        <v>1</v>
      </c>
      <c r="N75" s="204">
        <f t="shared" si="45"/>
        <v>1</v>
      </c>
      <c r="O75" s="204">
        <f t="shared" si="45"/>
        <v>1</v>
      </c>
      <c r="R75" s="26" t="s">
        <v>449</v>
      </c>
      <c r="S75" s="9">
        <v>1</v>
      </c>
      <c r="T75" s="4">
        <f t="shared" ref="T75:AD75" si="46">S75+1</f>
        <v>2</v>
      </c>
      <c r="U75" s="4">
        <f t="shared" si="46"/>
        <v>3</v>
      </c>
      <c r="V75" s="4">
        <f t="shared" si="46"/>
        <v>4</v>
      </c>
      <c r="W75" s="4">
        <f t="shared" si="46"/>
        <v>5</v>
      </c>
      <c r="X75" s="4">
        <f t="shared" si="46"/>
        <v>6</v>
      </c>
      <c r="Y75" s="4">
        <f t="shared" si="46"/>
        <v>7</v>
      </c>
      <c r="Z75" s="4">
        <f t="shared" si="46"/>
        <v>8</v>
      </c>
      <c r="AA75" s="4">
        <f t="shared" si="46"/>
        <v>9</v>
      </c>
      <c r="AB75" s="4">
        <f t="shared" si="46"/>
        <v>10</v>
      </c>
      <c r="AC75" s="4">
        <f t="shared" si="46"/>
        <v>11</v>
      </c>
      <c r="AD75" s="10">
        <f t="shared" si="46"/>
        <v>12</v>
      </c>
    </row>
    <row r="76" spans="3:30" x14ac:dyDescent="0.2">
      <c r="C76" s="6">
        <f t="shared" si="44"/>
        <v>44651</v>
      </c>
      <c r="D76" s="204">
        <f t="shared" ref="D76:O76" si="47">COUNTIFS($B$4:$B$34,$C76,E$4:E$34,"&lt;&gt;"&amp;"")</f>
        <v>0</v>
      </c>
      <c r="E76" s="204">
        <f t="shared" si="47"/>
        <v>0</v>
      </c>
      <c r="F76" s="204">
        <f t="shared" si="47"/>
        <v>4</v>
      </c>
      <c r="G76" s="204">
        <f t="shared" si="47"/>
        <v>4</v>
      </c>
      <c r="H76" s="204">
        <f t="shared" si="47"/>
        <v>4</v>
      </c>
      <c r="I76" s="204">
        <f t="shared" si="47"/>
        <v>4</v>
      </c>
      <c r="J76" s="204">
        <f t="shared" si="47"/>
        <v>4</v>
      </c>
      <c r="K76" s="204">
        <f t="shared" si="47"/>
        <v>4</v>
      </c>
      <c r="L76" s="204">
        <f t="shared" si="47"/>
        <v>4</v>
      </c>
      <c r="M76" s="204">
        <f t="shared" si="47"/>
        <v>4</v>
      </c>
      <c r="N76" s="204">
        <f t="shared" si="47"/>
        <v>4</v>
      </c>
      <c r="O76" s="204">
        <f t="shared" si="47"/>
        <v>4</v>
      </c>
      <c r="R76" s="5">
        <v>44592</v>
      </c>
      <c r="S76" s="16">
        <f t="shared" ref="S76:S87" si="48">S4</f>
        <v>108960</v>
      </c>
      <c r="T76" s="16">
        <f t="shared" ref="T76:AD76" si="49">IF(T4&gt;0,S76+T4,0)</f>
        <v>208320</v>
      </c>
      <c r="U76" s="16">
        <f t="shared" si="49"/>
        <v>307680</v>
      </c>
      <c r="V76" s="16">
        <f t="shared" si="49"/>
        <v>407040</v>
      </c>
      <c r="W76" s="16">
        <f t="shared" si="49"/>
        <v>506400</v>
      </c>
      <c r="X76" s="16">
        <f t="shared" si="49"/>
        <v>605760</v>
      </c>
      <c r="Y76" s="16">
        <f t="shared" si="49"/>
        <v>705120</v>
      </c>
      <c r="Z76" s="16">
        <f t="shared" si="49"/>
        <v>804480</v>
      </c>
      <c r="AA76" s="16">
        <f t="shared" si="49"/>
        <v>903840</v>
      </c>
      <c r="AB76" s="16">
        <f t="shared" si="49"/>
        <v>1003200</v>
      </c>
      <c r="AC76" s="16">
        <f t="shared" si="49"/>
        <v>1102560</v>
      </c>
      <c r="AD76" s="16">
        <f t="shared" si="49"/>
        <v>1201920</v>
      </c>
    </row>
    <row r="77" spans="3:30" x14ac:dyDescent="0.2">
      <c r="C77" s="6">
        <f t="shared" si="44"/>
        <v>44681</v>
      </c>
      <c r="D77" s="204">
        <f t="shared" ref="D77:O77" si="50">COUNTIFS($B$4:$B$34,$C77,E$4:E$34,"&lt;&gt;"&amp;"")</f>
        <v>0</v>
      </c>
      <c r="E77" s="204">
        <f t="shared" si="50"/>
        <v>0</v>
      </c>
      <c r="F77" s="204">
        <f t="shared" si="50"/>
        <v>0</v>
      </c>
      <c r="G77" s="204">
        <f t="shared" si="50"/>
        <v>2</v>
      </c>
      <c r="H77" s="204">
        <f t="shared" si="50"/>
        <v>2</v>
      </c>
      <c r="I77" s="204">
        <f t="shared" si="50"/>
        <v>2</v>
      </c>
      <c r="J77" s="204">
        <f t="shared" si="50"/>
        <v>2</v>
      </c>
      <c r="K77" s="204">
        <f t="shared" si="50"/>
        <v>2</v>
      </c>
      <c r="L77" s="204">
        <f t="shared" si="50"/>
        <v>1</v>
      </c>
      <c r="M77" s="204">
        <f t="shared" si="50"/>
        <v>1</v>
      </c>
      <c r="N77" s="204">
        <f t="shared" si="50"/>
        <v>1</v>
      </c>
      <c r="O77" s="204">
        <f t="shared" si="50"/>
        <v>1</v>
      </c>
      <c r="R77" s="6">
        <f t="shared" ref="R77:R87" si="51">EOMONTH(R76,1)</f>
        <v>44620</v>
      </c>
      <c r="S77" s="16">
        <f t="shared" si="48"/>
        <v>26748</v>
      </c>
      <c r="T77" s="16">
        <f t="shared" ref="T77:AD77" si="52">IF(T5&gt;0,S77+T5,0)</f>
        <v>53616</v>
      </c>
      <c r="U77" s="16">
        <f t="shared" si="52"/>
        <v>79824</v>
      </c>
      <c r="V77" s="16">
        <f t="shared" si="52"/>
        <v>106572</v>
      </c>
      <c r="W77" s="16">
        <f t="shared" si="52"/>
        <v>134100</v>
      </c>
      <c r="X77" s="16">
        <f t="shared" si="52"/>
        <v>161628</v>
      </c>
      <c r="Y77" s="16">
        <f t="shared" si="52"/>
        <v>178056</v>
      </c>
      <c r="Z77" s="16">
        <f t="shared" si="52"/>
        <v>188064</v>
      </c>
      <c r="AA77" s="16">
        <f t="shared" si="52"/>
        <v>198072</v>
      </c>
      <c r="AB77" s="16">
        <f t="shared" si="52"/>
        <v>208080</v>
      </c>
      <c r="AC77" s="16">
        <f t="shared" si="52"/>
        <v>218088</v>
      </c>
      <c r="AD77" s="16">
        <f t="shared" si="52"/>
        <v>0</v>
      </c>
    </row>
    <row r="78" spans="3:30" x14ac:dyDescent="0.2">
      <c r="C78" s="6">
        <f t="shared" si="44"/>
        <v>44712</v>
      </c>
      <c r="D78" s="204">
        <f t="shared" ref="D78:O78" si="53">COUNTIFS($B$4:$B$34,$C78,E$4:E$34,"&lt;&gt;"&amp;"")</f>
        <v>0</v>
      </c>
      <c r="E78" s="204">
        <f t="shared" si="53"/>
        <v>0</v>
      </c>
      <c r="F78" s="204">
        <f t="shared" si="53"/>
        <v>0</v>
      </c>
      <c r="G78" s="204">
        <f t="shared" si="53"/>
        <v>0</v>
      </c>
      <c r="H78" s="204">
        <f t="shared" si="53"/>
        <v>2</v>
      </c>
      <c r="I78" s="204">
        <f t="shared" si="53"/>
        <v>2</v>
      </c>
      <c r="J78" s="204">
        <f t="shared" si="53"/>
        <v>2</v>
      </c>
      <c r="K78" s="204">
        <f t="shared" si="53"/>
        <v>2</v>
      </c>
      <c r="L78" s="204">
        <f t="shared" si="53"/>
        <v>2</v>
      </c>
      <c r="M78" s="204">
        <f t="shared" si="53"/>
        <v>2</v>
      </c>
      <c r="N78" s="204">
        <f t="shared" si="53"/>
        <v>2</v>
      </c>
      <c r="O78" s="204">
        <f t="shared" si="53"/>
        <v>1</v>
      </c>
      <c r="R78" s="6">
        <f t="shared" si="51"/>
        <v>44651</v>
      </c>
      <c r="S78" s="16">
        <f t="shared" si="48"/>
        <v>67416</v>
      </c>
      <c r="T78" s="16">
        <f t="shared" ref="T78:AD78" si="54">IF(T6&gt;0,S78+T6,0)</f>
        <v>135600</v>
      </c>
      <c r="U78" s="16">
        <f t="shared" si="54"/>
        <v>204552</v>
      </c>
      <c r="V78" s="16">
        <f t="shared" si="54"/>
        <v>274416</v>
      </c>
      <c r="W78" s="16">
        <f t="shared" si="54"/>
        <v>344760</v>
      </c>
      <c r="X78" s="16">
        <f t="shared" si="54"/>
        <v>414624</v>
      </c>
      <c r="Y78" s="16">
        <f t="shared" si="54"/>
        <v>487224</v>
      </c>
      <c r="Z78" s="16">
        <f t="shared" si="54"/>
        <v>565296</v>
      </c>
      <c r="AA78" s="16">
        <f t="shared" si="54"/>
        <v>650316</v>
      </c>
      <c r="AB78" s="16">
        <f t="shared" si="54"/>
        <v>735336</v>
      </c>
      <c r="AC78" s="16">
        <f t="shared" si="54"/>
        <v>0</v>
      </c>
      <c r="AD78" s="16">
        <f t="shared" si="54"/>
        <v>0</v>
      </c>
    </row>
    <row r="79" spans="3:30" x14ac:dyDescent="0.2">
      <c r="C79" s="6">
        <f t="shared" si="44"/>
        <v>44742</v>
      </c>
      <c r="D79" s="204">
        <f t="shared" ref="D79:O79" si="55">COUNTIFS($B$4:$B$34,$C79,E$4:E$34,"&lt;&gt;"&amp;"")</f>
        <v>0</v>
      </c>
      <c r="E79" s="204">
        <f t="shared" si="55"/>
        <v>0</v>
      </c>
      <c r="F79" s="204">
        <f t="shared" si="55"/>
        <v>0</v>
      </c>
      <c r="G79" s="204">
        <f t="shared" si="55"/>
        <v>0</v>
      </c>
      <c r="H79" s="204">
        <f t="shared" si="55"/>
        <v>0</v>
      </c>
      <c r="I79" s="204">
        <f t="shared" si="55"/>
        <v>1</v>
      </c>
      <c r="J79" s="204">
        <f t="shared" si="55"/>
        <v>1</v>
      </c>
      <c r="K79" s="204">
        <f t="shared" si="55"/>
        <v>1</v>
      </c>
      <c r="L79" s="204">
        <f t="shared" si="55"/>
        <v>1</v>
      </c>
      <c r="M79" s="204">
        <f t="shared" si="55"/>
        <v>1</v>
      </c>
      <c r="N79" s="204">
        <f t="shared" si="55"/>
        <v>1</v>
      </c>
      <c r="O79" s="204">
        <f t="shared" si="55"/>
        <v>0</v>
      </c>
      <c r="R79" s="6">
        <f t="shared" si="51"/>
        <v>44681</v>
      </c>
      <c r="S79" s="16">
        <f t="shared" si="48"/>
        <v>10184</v>
      </c>
      <c r="T79" s="16">
        <f t="shared" ref="T79:AD79" si="56">IF(T7&gt;0,S79+T7,0)</f>
        <v>20368</v>
      </c>
      <c r="U79" s="16">
        <f t="shared" si="56"/>
        <v>30552</v>
      </c>
      <c r="V79" s="16">
        <f t="shared" si="56"/>
        <v>40736</v>
      </c>
      <c r="W79" s="16">
        <f t="shared" si="56"/>
        <v>50920</v>
      </c>
      <c r="X79" s="16">
        <f t="shared" si="56"/>
        <v>55920</v>
      </c>
      <c r="Y79" s="16">
        <f t="shared" si="56"/>
        <v>60920</v>
      </c>
      <c r="Z79" s="16">
        <f t="shared" si="56"/>
        <v>65920</v>
      </c>
      <c r="AA79" s="16">
        <f t="shared" si="56"/>
        <v>70920</v>
      </c>
      <c r="AB79" s="16">
        <f t="shared" si="56"/>
        <v>0</v>
      </c>
      <c r="AC79" s="16">
        <f t="shared" si="56"/>
        <v>0</v>
      </c>
      <c r="AD79" s="16">
        <f t="shared" si="56"/>
        <v>0</v>
      </c>
    </row>
    <row r="80" spans="3:30" x14ac:dyDescent="0.2">
      <c r="C80" s="6">
        <f t="shared" si="44"/>
        <v>44773</v>
      </c>
      <c r="D80" s="204">
        <f t="shared" ref="D80:O80" si="57">COUNTIFS($B$4:$B$34,$C80,E$4:E$34,"&lt;&gt;"&amp;"")</f>
        <v>0</v>
      </c>
      <c r="E80" s="204">
        <f t="shared" si="57"/>
        <v>0</v>
      </c>
      <c r="F80" s="204">
        <f t="shared" si="57"/>
        <v>0</v>
      </c>
      <c r="G80" s="204">
        <f t="shared" si="57"/>
        <v>0</v>
      </c>
      <c r="H80" s="204">
        <f t="shared" si="57"/>
        <v>0</v>
      </c>
      <c r="I80" s="204">
        <f t="shared" si="57"/>
        <v>0</v>
      </c>
      <c r="J80" s="204">
        <f t="shared" si="57"/>
        <v>2</v>
      </c>
      <c r="K80" s="204">
        <f t="shared" si="57"/>
        <v>2</v>
      </c>
      <c r="L80" s="204">
        <f t="shared" si="57"/>
        <v>2</v>
      </c>
      <c r="M80" s="204">
        <f t="shared" si="57"/>
        <v>2</v>
      </c>
      <c r="N80" s="204">
        <f t="shared" si="57"/>
        <v>2</v>
      </c>
      <c r="O80" s="204">
        <f t="shared" si="57"/>
        <v>2</v>
      </c>
      <c r="R80" s="6">
        <f t="shared" si="51"/>
        <v>44712</v>
      </c>
      <c r="S80" s="16">
        <f t="shared" si="48"/>
        <v>29988</v>
      </c>
      <c r="T80" s="16">
        <f t="shared" ref="T80:AD80" si="58">IF(T8&gt;0,S80+T8,0)</f>
        <v>59976</v>
      </c>
      <c r="U80" s="16">
        <f t="shared" si="58"/>
        <v>89964</v>
      </c>
      <c r="V80" s="16">
        <f t="shared" si="58"/>
        <v>119952</v>
      </c>
      <c r="W80" s="16">
        <f t="shared" si="58"/>
        <v>149940</v>
      </c>
      <c r="X80" s="16">
        <f t="shared" si="58"/>
        <v>179928</v>
      </c>
      <c r="Y80" s="16">
        <f t="shared" si="58"/>
        <v>209916</v>
      </c>
      <c r="Z80" s="16">
        <f t="shared" si="58"/>
        <v>234816</v>
      </c>
      <c r="AA80" s="16">
        <f t="shared" si="58"/>
        <v>0</v>
      </c>
      <c r="AB80" s="16">
        <f t="shared" si="58"/>
        <v>0</v>
      </c>
      <c r="AC80" s="16">
        <f t="shared" si="58"/>
        <v>0</v>
      </c>
      <c r="AD80" s="16">
        <f t="shared" si="58"/>
        <v>0</v>
      </c>
    </row>
    <row r="81" spans="3:30" x14ac:dyDescent="0.2">
      <c r="C81" s="6">
        <f t="shared" si="44"/>
        <v>44804</v>
      </c>
      <c r="D81" s="204">
        <f t="shared" ref="D81:O81" si="59">COUNTIFS($B$4:$B$34,$C81,E$4:E$34,"&lt;&gt;"&amp;"")</f>
        <v>0</v>
      </c>
      <c r="E81" s="204">
        <f t="shared" si="59"/>
        <v>0</v>
      </c>
      <c r="F81" s="204">
        <f t="shared" si="59"/>
        <v>0</v>
      </c>
      <c r="G81" s="204">
        <f t="shared" si="59"/>
        <v>0</v>
      </c>
      <c r="H81" s="204">
        <f t="shared" si="59"/>
        <v>0</v>
      </c>
      <c r="I81" s="204">
        <f t="shared" si="59"/>
        <v>0</v>
      </c>
      <c r="J81" s="204">
        <f t="shared" si="59"/>
        <v>0</v>
      </c>
      <c r="K81" s="204">
        <f t="shared" si="59"/>
        <v>3</v>
      </c>
      <c r="L81" s="204">
        <f t="shared" si="59"/>
        <v>3</v>
      </c>
      <c r="M81" s="204">
        <f t="shared" si="59"/>
        <v>3</v>
      </c>
      <c r="N81" s="204">
        <f t="shared" si="59"/>
        <v>3</v>
      </c>
      <c r="O81" s="204">
        <f t="shared" si="59"/>
        <v>2</v>
      </c>
      <c r="R81" s="6">
        <f t="shared" si="51"/>
        <v>44742</v>
      </c>
      <c r="S81" s="16">
        <f t="shared" si="48"/>
        <v>5000</v>
      </c>
      <c r="T81" s="16">
        <f t="shared" ref="T81:AD81" si="60">IF(T9&gt;0,S81+T9,0)</f>
        <v>10000</v>
      </c>
      <c r="U81" s="16">
        <f t="shared" si="60"/>
        <v>15000</v>
      </c>
      <c r="V81" s="16">
        <f t="shared" si="60"/>
        <v>20000</v>
      </c>
      <c r="W81" s="16">
        <f t="shared" si="60"/>
        <v>25000</v>
      </c>
      <c r="X81" s="16">
        <f t="shared" si="60"/>
        <v>30000</v>
      </c>
      <c r="Y81" s="16">
        <f t="shared" si="60"/>
        <v>0</v>
      </c>
      <c r="Z81" s="16">
        <f t="shared" si="60"/>
        <v>0</v>
      </c>
      <c r="AA81" s="16">
        <f t="shared" si="60"/>
        <v>0</v>
      </c>
      <c r="AB81" s="16">
        <f t="shared" si="60"/>
        <v>0</v>
      </c>
      <c r="AC81" s="16">
        <f t="shared" si="60"/>
        <v>0</v>
      </c>
      <c r="AD81" s="16">
        <f t="shared" si="60"/>
        <v>0</v>
      </c>
    </row>
    <row r="82" spans="3:30" x14ac:dyDescent="0.2">
      <c r="C82" s="6">
        <f t="shared" si="44"/>
        <v>44834</v>
      </c>
      <c r="D82" s="204">
        <f t="shared" ref="D82:O82" si="61">COUNTIFS($B$4:$B$34,$C82,E$4:E$34,"&lt;&gt;"&amp;"")</f>
        <v>0</v>
      </c>
      <c r="E82" s="204">
        <f t="shared" si="61"/>
        <v>0</v>
      </c>
      <c r="F82" s="204">
        <f t="shared" si="61"/>
        <v>0</v>
      </c>
      <c r="G82" s="204">
        <f t="shared" si="61"/>
        <v>0</v>
      </c>
      <c r="H82" s="204">
        <f t="shared" si="61"/>
        <v>0</v>
      </c>
      <c r="I82" s="204">
        <f t="shared" si="61"/>
        <v>0</v>
      </c>
      <c r="J82" s="204">
        <f t="shared" si="61"/>
        <v>0</v>
      </c>
      <c r="K82" s="204">
        <f t="shared" si="61"/>
        <v>0</v>
      </c>
      <c r="L82" s="204">
        <f t="shared" si="61"/>
        <v>2</v>
      </c>
      <c r="M82" s="204">
        <f t="shared" si="61"/>
        <v>2</v>
      </c>
      <c r="N82" s="204">
        <f t="shared" si="61"/>
        <v>2</v>
      </c>
      <c r="O82" s="204">
        <f t="shared" si="61"/>
        <v>2</v>
      </c>
      <c r="R82" s="6">
        <f t="shared" si="51"/>
        <v>44773</v>
      </c>
      <c r="S82" s="16">
        <f t="shared" si="48"/>
        <v>14040</v>
      </c>
      <c r="T82" s="16">
        <f t="shared" ref="T82:AD82" si="62">IF(T10&gt;0,S82+T10,0)</f>
        <v>28080</v>
      </c>
      <c r="U82" s="16">
        <f t="shared" si="62"/>
        <v>42120</v>
      </c>
      <c r="V82" s="16">
        <f t="shared" si="62"/>
        <v>56160</v>
      </c>
      <c r="W82" s="16">
        <f t="shared" si="62"/>
        <v>70200</v>
      </c>
      <c r="X82" s="16">
        <f t="shared" si="62"/>
        <v>84240</v>
      </c>
      <c r="Y82" s="16">
        <f t="shared" si="62"/>
        <v>0</v>
      </c>
      <c r="Z82" s="16">
        <f t="shared" si="62"/>
        <v>0</v>
      </c>
      <c r="AA82" s="16">
        <f t="shared" si="62"/>
        <v>0</v>
      </c>
      <c r="AB82" s="16">
        <f t="shared" si="62"/>
        <v>0</v>
      </c>
      <c r="AC82" s="16">
        <f t="shared" si="62"/>
        <v>0</v>
      </c>
      <c r="AD82" s="16">
        <f t="shared" si="62"/>
        <v>0</v>
      </c>
    </row>
    <row r="83" spans="3:30" x14ac:dyDescent="0.2">
      <c r="C83" s="6">
        <f t="shared" si="44"/>
        <v>44865</v>
      </c>
      <c r="D83" s="204">
        <f t="shared" ref="D83:O83" si="63">COUNTIFS($B$4:$B$34,$C83,E$4:E$34,"&lt;&gt;"&amp;"")</f>
        <v>0</v>
      </c>
      <c r="E83" s="204">
        <f t="shared" si="63"/>
        <v>0</v>
      </c>
      <c r="F83" s="204">
        <f t="shared" si="63"/>
        <v>0</v>
      </c>
      <c r="G83" s="204">
        <f t="shared" si="63"/>
        <v>0</v>
      </c>
      <c r="H83" s="204">
        <f t="shared" si="63"/>
        <v>0</v>
      </c>
      <c r="I83" s="204">
        <f t="shared" si="63"/>
        <v>0</v>
      </c>
      <c r="J83" s="204">
        <f t="shared" si="63"/>
        <v>0</v>
      </c>
      <c r="K83" s="204">
        <f t="shared" si="63"/>
        <v>0</v>
      </c>
      <c r="L83" s="204">
        <f t="shared" si="63"/>
        <v>0</v>
      </c>
      <c r="M83" s="204">
        <f t="shared" si="63"/>
        <v>2</v>
      </c>
      <c r="N83" s="204">
        <f t="shared" si="63"/>
        <v>2</v>
      </c>
      <c r="O83" s="204">
        <f t="shared" si="63"/>
        <v>1</v>
      </c>
      <c r="R83" s="6">
        <f t="shared" si="51"/>
        <v>44804</v>
      </c>
      <c r="S83" s="16">
        <f t="shared" si="48"/>
        <v>33060</v>
      </c>
      <c r="T83" s="16">
        <f t="shared" ref="T83:AD83" si="64">IF(T11&gt;0,S83+T11,0)</f>
        <v>66120</v>
      </c>
      <c r="U83" s="16">
        <f t="shared" si="64"/>
        <v>99180</v>
      </c>
      <c r="V83" s="16">
        <f t="shared" si="64"/>
        <v>132240</v>
      </c>
      <c r="W83" s="16">
        <f t="shared" si="64"/>
        <v>156720</v>
      </c>
      <c r="X83" s="16">
        <f t="shared" si="64"/>
        <v>0</v>
      </c>
      <c r="Y83" s="16">
        <f t="shared" si="64"/>
        <v>0</v>
      </c>
      <c r="Z83" s="16">
        <f t="shared" si="64"/>
        <v>0</v>
      </c>
      <c r="AA83" s="16">
        <f t="shared" si="64"/>
        <v>0</v>
      </c>
      <c r="AB83" s="16">
        <f t="shared" si="64"/>
        <v>0</v>
      </c>
      <c r="AC83" s="16">
        <f t="shared" si="64"/>
        <v>0</v>
      </c>
      <c r="AD83" s="16">
        <f t="shared" si="64"/>
        <v>0</v>
      </c>
    </row>
    <row r="84" spans="3:30" x14ac:dyDescent="0.2">
      <c r="C84" s="6">
        <f t="shared" si="44"/>
        <v>44895</v>
      </c>
      <c r="D84" s="204">
        <f t="shared" ref="D84:O85" si="65">COUNTIFS($B$4:$B$34,$C84,E$4:E$34,"&lt;&gt;"&amp;"")</f>
        <v>0</v>
      </c>
      <c r="E84" s="204">
        <f t="shared" si="65"/>
        <v>0</v>
      </c>
      <c r="F84" s="204">
        <f t="shared" si="65"/>
        <v>0</v>
      </c>
      <c r="G84" s="204">
        <f t="shared" si="65"/>
        <v>0</v>
      </c>
      <c r="H84" s="204">
        <f t="shared" si="65"/>
        <v>0</v>
      </c>
      <c r="I84" s="204">
        <f t="shared" si="65"/>
        <v>0</v>
      </c>
      <c r="J84" s="204">
        <f t="shared" si="65"/>
        <v>0</v>
      </c>
      <c r="K84" s="204">
        <f t="shared" si="65"/>
        <v>0</v>
      </c>
      <c r="L84" s="204">
        <f t="shared" si="65"/>
        <v>0</v>
      </c>
      <c r="M84" s="204">
        <f t="shared" si="65"/>
        <v>0</v>
      </c>
      <c r="N84" s="204">
        <f t="shared" si="65"/>
        <v>3</v>
      </c>
      <c r="O84" s="204">
        <f t="shared" si="65"/>
        <v>3</v>
      </c>
      <c r="R84" s="6">
        <f t="shared" si="51"/>
        <v>44834</v>
      </c>
      <c r="S84" s="16">
        <f t="shared" si="48"/>
        <v>20600</v>
      </c>
      <c r="T84" s="16">
        <f t="shared" ref="T84:AD84" si="66">IF(T12&gt;0,S84+T12,0)</f>
        <v>41200</v>
      </c>
      <c r="U84" s="16">
        <f t="shared" si="66"/>
        <v>61800</v>
      </c>
      <c r="V84" s="16">
        <f t="shared" si="66"/>
        <v>82400</v>
      </c>
      <c r="W84" s="16">
        <f t="shared" si="66"/>
        <v>0</v>
      </c>
      <c r="X84" s="16">
        <f t="shared" si="66"/>
        <v>0</v>
      </c>
      <c r="Y84" s="16">
        <f t="shared" si="66"/>
        <v>0</v>
      </c>
      <c r="Z84" s="16">
        <f t="shared" si="66"/>
        <v>0</v>
      </c>
      <c r="AA84" s="16">
        <f t="shared" si="66"/>
        <v>0</v>
      </c>
      <c r="AB84" s="16">
        <f t="shared" si="66"/>
        <v>0</v>
      </c>
      <c r="AC84" s="16">
        <f t="shared" si="66"/>
        <v>0</v>
      </c>
      <c r="AD84" s="16">
        <f t="shared" si="66"/>
        <v>0</v>
      </c>
    </row>
    <row r="85" spans="3:30" ht="16" thickBot="1" x14ac:dyDescent="0.25">
      <c r="C85" s="7">
        <f t="shared" si="44"/>
        <v>44926</v>
      </c>
      <c r="D85" s="204">
        <f>COUNTIFS($B$4:$B$34,$C85,E$4:E$34,"&lt;&gt;"&amp;"")</f>
        <v>0</v>
      </c>
      <c r="E85" s="204">
        <f t="shared" si="65"/>
        <v>0</v>
      </c>
      <c r="F85" s="204">
        <f t="shared" si="65"/>
        <v>0</v>
      </c>
      <c r="G85" s="204">
        <f t="shared" si="65"/>
        <v>0</v>
      </c>
      <c r="H85" s="204">
        <f t="shared" si="65"/>
        <v>0</v>
      </c>
      <c r="I85" s="204">
        <f t="shared" si="65"/>
        <v>0</v>
      </c>
      <c r="J85" s="204">
        <f t="shared" si="65"/>
        <v>0</v>
      </c>
      <c r="K85" s="204">
        <f t="shared" si="65"/>
        <v>0</v>
      </c>
      <c r="L85" s="204">
        <f t="shared" si="65"/>
        <v>0</v>
      </c>
      <c r="M85" s="204">
        <f t="shared" si="65"/>
        <v>0</v>
      </c>
      <c r="N85" s="204">
        <f t="shared" si="65"/>
        <v>0</v>
      </c>
      <c r="O85" s="204">
        <f t="shared" si="65"/>
        <v>4</v>
      </c>
      <c r="R85" s="6">
        <f t="shared" si="51"/>
        <v>44865</v>
      </c>
      <c r="S85" s="16">
        <f t="shared" si="48"/>
        <v>29970</v>
      </c>
      <c r="T85" s="16">
        <f t="shared" ref="T85:AD85" si="67">IF(T13&gt;0,S85+T13,0)</f>
        <v>59940</v>
      </c>
      <c r="U85" s="16">
        <f t="shared" si="67"/>
        <v>77760</v>
      </c>
      <c r="V85" s="16">
        <f t="shared" si="67"/>
        <v>0</v>
      </c>
      <c r="W85" s="16">
        <f t="shared" si="67"/>
        <v>0</v>
      </c>
      <c r="X85" s="16">
        <f t="shared" si="67"/>
        <v>0</v>
      </c>
      <c r="Y85" s="16">
        <f t="shared" si="67"/>
        <v>0</v>
      </c>
      <c r="Z85" s="16">
        <f t="shared" si="67"/>
        <v>0</v>
      </c>
      <c r="AA85" s="16">
        <f t="shared" si="67"/>
        <v>0</v>
      </c>
      <c r="AB85" s="16">
        <f t="shared" si="67"/>
        <v>0</v>
      </c>
      <c r="AC85" s="16">
        <f t="shared" si="67"/>
        <v>0</v>
      </c>
      <c r="AD85" s="16">
        <f t="shared" si="67"/>
        <v>0</v>
      </c>
    </row>
    <row r="86" spans="3:30" x14ac:dyDescent="0.2">
      <c r="C86" s="1" t="s">
        <v>6</v>
      </c>
      <c r="D86" s="205">
        <f t="shared" ref="D86:O86" si="68">SUM(D74:D85)</f>
        <v>3</v>
      </c>
      <c r="E86" s="205">
        <f t="shared" si="68"/>
        <v>5</v>
      </c>
      <c r="F86" s="205">
        <f t="shared" si="68"/>
        <v>9</v>
      </c>
      <c r="G86" s="205">
        <f t="shared" si="68"/>
        <v>11</v>
      </c>
      <c r="H86" s="205">
        <f t="shared" si="68"/>
        <v>13</v>
      </c>
      <c r="I86" s="205">
        <f t="shared" si="68"/>
        <v>14</v>
      </c>
      <c r="J86" s="205">
        <f t="shared" si="68"/>
        <v>16</v>
      </c>
      <c r="K86" s="205">
        <f t="shared" si="68"/>
        <v>18</v>
      </c>
      <c r="L86" s="205">
        <f t="shared" si="68"/>
        <v>18</v>
      </c>
      <c r="M86" s="205">
        <f t="shared" si="68"/>
        <v>20</v>
      </c>
      <c r="N86" s="205">
        <f t="shared" si="68"/>
        <v>23</v>
      </c>
      <c r="O86" s="205">
        <f t="shared" si="68"/>
        <v>23</v>
      </c>
      <c r="R86" s="6">
        <f t="shared" si="51"/>
        <v>44895</v>
      </c>
      <c r="S86" s="16">
        <f t="shared" si="48"/>
        <v>39228</v>
      </c>
      <c r="T86" s="16">
        <f t="shared" ref="T86:AD86" si="69">IF(T14&gt;0,S86+T14,0)</f>
        <v>78456</v>
      </c>
      <c r="U86" s="16">
        <f t="shared" si="69"/>
        <v>0</v>
      </c>
      <c r="V86" s="16">
        <f t="shared" si="69"/>
        <v>0</v>
      </c>
      <c r="W86" s="16">
        <f t="shared" si="69"/>
        <v>0</v>
      </c>
      <c r="X86" s="16">
        <f t="shared" si="69"/>
        <v>0</v>
      </c>
      <c r="Y86" s="16">
        <f t="shared" si="69"/>
        <v>0</v>
      </c>
      <c r="Z86" s="16">
        <f t="shared" si="69"/>
        <v>0</v>
      </c>
      <c r="AA86" s="16">
        <f t="shared" si="69"/>
        <v>0</v>
      </c>
      <c r="AB86" s="16">
        <f t="shared" si="69"/>
        <v>0</v>
      </c>
      <c r="AC86" s="16">
        <f t="shared" si="69"/>
        <v>0</v>
      </c>
      <c r="AD86" s="16">
        <f t="shared" si="69"/>
        <v>0</v>
      </c>
    </row>
    <row r="87" spans="3:30" ht="16" thickBot="1" x14ac:dyDescent="0.25">
      <c r="R87" s="7">
        <f t="shared" si="51"/>
        <v>44926</v>
      </c>
      <c r="S87" s="16">
        <f t="shared" si="48"/>
        <v>45144</v>
      </c>
      <c r="T87" s="16">
        <f t="shared" ref="T87:AD87" si="70">IF(T15&gt;0,S87+T15,0)</f>
        <v>0</v>
      </c>
      <c r="U87" s="16">
        <f t="shared" si="70"/>
        <v>0</v>
      </c>
      <c r="V87" s="16">
        <f t="shared" si="70"/>
        <v>0</v>
      </c>
      <c r="W87" s="16">
        <f t="shared" si="70"/>
        <v>0</v>
      </c>
      <c r="X87" s="16">
        <f t="shared" si="70"/>
        <v>0</v>
      </c>
      <c r="Y87" s="16">
        <f t="shared" si="70"/>
        <v>0</v>
      </c>
      <c r="Z87" s="16">
        <f t="shared" si="70"/>
        <v>0</v>
      </c>
      <c r="AA87" s="16">
        <f t="shared" si="70"/>
        <v>0</v>
      </c>
      <c r="AB87" s="16">
        <f t="shared" si="70"/>
        <v>0</v>
      </c>
      <c r="AC87" s="16">
        <f t="shared" si="70"/>
        <v>0</v>
      </c>
      <c r="AD87" s="16">
        <f t="shared" si="70"/>
        <v>0</v>
      </c>
    </row>
    <row r="89" spans="3:30" ht="16" thickBot="1" x14ac:dyDescent="0.25"/>
    <row r="90" spans="3:30" ht="16" thickBot="1" x14ac:dyDescent="0.25">
      <c r="D90" s="198" cm="1">
        <f t="array" ref="D90:O90">TRANSPOSE(C91:C102)</f>
        <v>44592</v>
      </c>
      <c r="E90" s="199">
        <v>44620</v>
      </c>
      <c r="F90" s="199">
        <v>44651</v>
      </c>
      <c r="G90" s="199">
        <v>44681</v>
      </c>
      <c r="H90" s="199">
        <v>44712</v>
      </c>
      <c r="I90" s="199">
        <v>44742</v>
      </c>
      <c r="J90" s="199">
        <v>44773</v>
      </c>
      <c r="K90" s="199">
        <v>44804</v>
      </c>
      <c r="L90" s="199">
        <v>44834</v>
      </c>
      <c r="M90" s="199">
        <v>44865</v>
      </c>
      <c r="N90" s="199">
        <v>44895</v>
      </c>
      <c r="O90" s="200">
        <v>44926</v>
      </c>
      <c r="R90" s="19" t="s">
        <v>450</v>
      </c>
      <c r="S90" s="20">
        <v>0.75</v>
      </c>
    </row>
    <row r="91" spans="3:30" ht="16" thickBot="1" x14ac:dyDescent="0.25">
      <c r="C91" s="5">
        <v>44592</v>
      </c>
      <c r="D91" s="204">
        <f t="shared" ref="D91:O91" si="71">IF(ROUND((D$56-$C57)/30,0)+1&lt;=0," ",ROUND((D$56-$C57)/30,0)+1)</f>
        <v>1</v>
      </c>
      <c r="E91" s="204">
        <f t="shared" si="71"/>
        <v>2</v>
      </c>
      <c r="F91" s="204">
        <f t="shared" si="71"/>
        <v>3</v>
      </c>
      <c r="G91" s="204">
        <f t="shared" si="71"/>
        <v>4</v>
      </c>
      <c r="H91" s="204">
        <f t="shared" si="71"/>
        <v>5</v>
      </c>
      <c r="I91" s="204">
        <f t="shared" si="71"/>
        <v>6</v>
      </c>
      <c r="J91" s="204">
        <f t="shared" si="71"/>
        <v>7</v>
      </c>
      <c r="K91" s="204">
        <f t="shared" si="71"/>
        <v>8</v>
      </c>
      <c r="L91" s="204">
        <f t="shared" si="71"/>
        <v>9</v>
      </c>
      <c r="M91" s="204">
        <f t="shared" si="71"/>
        <v>10</v>
      </c>
      <c r="N91" s="204">
        <f t="shared" si="71"/>
        <v>11</v>
      </c>
      <c r="O91" s="204">
        <f t="shared" si="71"/>
        <v>12</v>
      </c>
      <c r="S91" s="12" t="s">
        <v>447</v>
      </c>
      <c r="T91" s="12"/>
      <c r="U91" s="12"/>
      <c r="V91" s="12"/>
      <c r="W91" s="12"/>
      <c r="X91" s="12"/>
      <c r="Y91" s="12"/>
      <c r="Z91" s="12"/>
      <c r="AA91" s="12"/>
      <c r="AB91" s="12"/>
      <c r="AC91" s="12"/>
      <c r="AD91" s="12"/>
    </row>
    <row r="92" spans="3:30" ht="16" thickBot="1" x14ac:dyDescent="0.25">
      <c r="C92" s="6">
        <f t="shared" ref="C92:C102" si="72">EOMONTH(C91,1)</f>
        <v>44620</v>
      </c>
      <c r="D92" s="204" t="str">
        <f t="shared" ref="D92:O92" si="73">IF(ROUND((D$56-$C58)/30,0)+1&lt;=0," ",ROUND((D$56-$C58)/30,0)+1)</f>
        <v xml:space="preserve"> </v>
      </c>
      <c r="E92" s="204">
        <f t="shared" si="73"/>
        <v>1</v>
      </c>
      <c r="F92" s="204">
        <f t="shared" si="73"/>
        <v>2</v>
      </c>
      <c r="G92" s="204">
        <f t="shared" si="73"/>
        <v>3</v>
      </c>
      <c r="H92" s="204">
        <f t="shared" si="73"/>
        <v>4</v>
      </c>
      <c r="I92" s="204">
        <f t="shared" si="73"/>
        <v>5</v>
      </c>
      <c r="J92" s="204">
        <f t="shared" si="73"/>
        <v>6</v>
      </c>
      <c r="K92" s="204">
        <f t="shared" si="73"/>
        <v>7</v>
      </c>
      <c r="L92" s="204">
        <f t="shared" si="73"/>
        <v>8</v>
      </c>
      <c r="M92" s="204">
        <f t="shared" si="73"/>
        <v>9</v>
      </c>
      <c r="N92" s="204">
        <f t="shared" si="73"/>
        <v>10</v>
      </c>
      <c r="O92" s="204">
        <f t="shared" si="73"/>
        <v>11</v>
      </c>
      <c r="R92" s="26" t="s">
        <v>456</v>
      </c>
      <c r="S92" s="9">
        <v>1</v>
      </c>
      <c r="T92" s="4">
        <f t="shared" ref="T92:AD92" si="74">S92+1</f>
        <v>2</v>
      </c>
      <c r="U92" s="4">
        <f t="shared" si="74"/>
        <v>3</v>
      </c>
      <c r="V92" s="4">
        <f t="shared" si="74"/>
        <v>4</v>
      </c>
      <c r="W92" s="4">
        <f t="shared" si="74"/>
        <v>5</v>
      </c>
      <c r="X92" s="4">
        <f t="shared" si="74"/>
        <v>6</v>
      </c>
      <c r="Y92" s="4">
        <f t="shared" si="74"/>
        <v>7</v>
      </c>
      <c r="Z92" s="4">
        <f t="shared" si="74"/>
        <v>8</v>
      </c>
      <c r="AA92" s="4">
        <f t="shared" si="74"/>
        <v>9</v>
      </c>
      <c r="AB92" s="4">
        <f t="shared" si="74"/>
        <v>10</v>
      </c>
      <c r="AC92" s="4">
        <f t="shared" si="74"/>
        <v>11</v>
      </c>
      <c r="AD92" s="10">
        <f t="shared" si="74"/>
        <v>12</v>
      </c>
    </row>
    <row r="93" spans="3:30" x14ac:dyDescent="0.2">
      <c r="C93" s="6">
        <f t="shared" si="72"/>
        <v>44651</v>
      </c>
      <c r="D93" s="204" t="str">
        <f t="shared" ref="D93:O93" si="75">IF(ROUND((D$56-$C59)/30,0)+1&lt;=0," ",ROUND((D$56-$C59)/30,0)+1)</f>
        <v xml:space="preserve"> </v>
      </c>
      <c r="E93" s="204" t="str">
        <f t="shared" si="75"/>
        <v xml:space="preserve"> </v>
      </c>
      <c r="F93" s="204">
        <f t="shared" si="75"/>
        <v>1</v>
      </c>
      <c r="G93" s="204">
        <f t="shared" si="75"/>
        <v>2</v>
      </c>
      <c r="H93" s="204">
        <f t="shared" si="75"/>
        <v>3</v>
      </c>
      <c r="I93" s="204">
        <f t="shared" si="75"/>
        <v>4</v>
      </c>
      <c r="J93" s="204">
        <f t="shared" si="75"/>
        <v>5</v>
      </c>
      <c r="K93" s="204">
        <f t="shared" si="75"/>
        <v>6</v>
      </c>
      <c r="L93" s="204">
        <f t="shared" si="75"/>
        <v>7</v>
      </c>
      <c r="M93" s="204">
        <f t="shared" si="75"/>
        <v>8</v>
      </c>
      <c r="N93" s="204">
        <f t="shared" si="75"/>
        <v>9</v>
      </c>
      <c r="O93" s="204">
        <f t="shared" si="75"/>
        <v>10</v>
      </c>
      <c r="R93" s="5">
        <v>44592</v>
      </c>
      <c r="S93" s="16">
        <f t="shared" ref="S93:AD93" si="76">IFERROR(($S$90*S76)/S23,"")</f>
        <v>27240</v>
      </c>
      <c r="T93" s="16">
        <f t="shared" si="76"/>
        <v>78120</v>
      </c>
      <c r="U93" s="16">
        <f t="shared" si="76"/>
        <v>115380</v>
      </c>
      <c r="V93" s="16">
        <f t="shared" si="76"/>
        <v>152640</v>
      </c>
      <c r="W93" s="16">
        <f t="shared" si="76"/>
        <v>189900</v>
      </c>
      <c r="X93" s="16">
        <f t="shared" si="76"/>
        <v>227160</v>
      </c>
      <c r="Y93" s="16">
        <f t="shared" si="76"/>
        <v>264420</v>
      </c>
      <c r="Z93" s="16">
        <f t="shared" si="76"/>
        <v>301680</v>
      </c>
      <c r="AA93" s="16">
        <f t="shared" si="76"/>
        <v>338940</v>
      </c>
      <c r="AB93" s="16">
        <f t="shared" si="76"/>
        <v>376200</v>
      </c>
      <c r="AC93" s="16">
        <f t="shared" si="76"/>
        <v>413460</v>
      </c>
      <c r="AD93" s="16">
        <f t="shared" si="76"/>
        <v>450720</v>
      </c>
    </row>
    <row r="94" spans="3:30" x14ac:dyDescent="0.2">
      <c r="C94" s="6">
        <f t="shared" si="72"/>
        <v>44681</v>
      </c>
      <c r="D94" s="204" t="str">
        <f t="shared" ref="D94:O94" si="77">IF(ROUND((D$56-$C60)/30,0)+1&lt;=0," ",ROUND((D$56-$C60)/30,0)+1)</f>
        <v xml:space="preserve"> </v>
      </c>
      <c r="E94" s="204" t="str">
        <f t="shared" si="77"/>
        <v xml:space="preserve"> </v>
      </c>
      <c r="F94" s="204" t="str">
        <f t="shared" si="77"/>
        <v xml:space="preserve"> </v>
      </c>
      <c r="G94" s="204">
        <f t="shared" si="77"/>
        <v>1</v>
      </c>
      <c r="H94" s="204">
        <f t="shared" si="77"/>
        <v>2</v>
      </c>
      <c r="I94" s="204">
        <f t="shared" si="77"/>
        <v>3</v>
      </c>
      <c r="J94" s="204">
        <f t="shared" si="77"/>
        <v>4</v>
      </c>
      <c r="K94" s="204">
        <f t="shared" si="77"/>
        <v>5</v>
      </c>
      <c r="L94" s="204">
        <f t="shared" si="77"/>
        <v>6</v>
      </c>
      <c r="M94" s="204">
        <f t="shared" si="77"/>
        <v>7</v>
      </c>
      <c r="N94" s="204">
        <f t="shared" si="77"/>
        <v>8</v>
      </c>
      <c r="O94" s="204">
        <f t="shared" si="77"/>
        <v>9</v>
      </c>
      <c r="R94" s="6">
        <f t="shared" ref="R94:R104" si="78">EOMONTH(R93,1)</f>
        <v>44620</v>
      </c>
      <c r="S94" s="16">
        <f t="shared" ref="S94:AD94" si="79">IFERROR(($S$90*S77)/S24,"")</f>
        <v>6687</v>
      </c>
      <c r="T94" s="16">
        <f t="shared" si="79"/>
        <v>13404</v>
      </c>
      <c r="U94" s="16">
        <f t="shared" si="79"/>
        <v>19956</v>
      </c>
      <c r="V94" s="16">
        <f t="shared" si="79"/>
        <v>26643</v>
      </c>
      <c r="W94" s="16">
        <f t="shared" si="79"/>
        <v>33525</v>
      </c>
      <c r="X94" s="16">
        <f t="shared" si="79"/>
        <v>40407</v>
      </c>
      <c r="Y94" s="16">
        <f t="shared" si="79"/>
        <v>66771</v>
      </c>
      <c r="Z94" s="16">
        <f t="shared" si="79"/>
        <v>141048</v>
      </c>
      <c r="AA94" s="16">
        <f t="shared" si="79"/>
        <v>148554</v>
      </c>
      <c r="AB94" s="16">
        <f t="shared" si="79"/>
        <v>156060</v>
      </c>
      <c r="AC94" s="16">
        <f t="shared" si="79"/>
        <v>163566</v>
      </c>
      <c r="AD94" s="16" t="str">
        <f t="shared" si="79"/>
        <v/>
      </c>
    </row>
    <row r="95" spans="3:30" x14ac:dyDescent="0.2">
      <c r="C95" s="6">
        <f t="shared" si="72"/>
        <v>44712</v>
      </c>
      <c r="D95" s="204" t="str">
        <f t="shared" ref="D95:O95" si="80">IF(ROUND((D$56-$C61)/30,0)+1&lt;=0," ",ROUND((D$56-$C61)/30,0)+1)</f>
        <v xml:space="preserve"> </v>
      </c>
      <c r="E95" s="204" t="str">
        <f t="shared" si="80"/>
        <v xml:space="preserve"> </v>
      </c>
      <c r="F95" s="204" t="str">
        <f t="shared" si="80"/>
        <v xml:space="preserve"> </v>
      </c>
      <c r="G95" s="204" t="str">
        <f t="shared" si="80"/>
        <v xml:space="preserve"> </v>
      </c>
      <c r="H95" s="204">
        <f t="shared" si="80"/>
        <v>1</v>
      </c>
      <c r="I95" s="204">
        <f t="shared" si="80"/>
        <v>2</v>
      </c>
      <c r="J95" s="204">
        <f t="shared" si="80"/>
        <v>3</v>
      </c>
      <c r="K95" s="204">
        <f t="shared" si="80"/>
        <v>4</v>
      </c>
      <c r="L95" s="204">
        <f t="shared" si="80"/>
        <v>5</v>
      </c>
      <c r="M95" s="204">
        <f t="shared" si="80"/>
        <v>6</v>
      </c>
      <c r="N95" s="204">
        <f t="shared" si="80"/>
        <v>7</v>
      </c>
      <c r="O95" s="204">
        <f t="shared" si="80"/>
        <v>8</v>
      </c>
      <c r="R95" s="6">
        <f t="shared" si="78"/>
        <v>44651</v>
      </c>
      <c r="S95" s="16">
        <f t="shared" ref="S95:AD95" si="81">IFERROR(($S$90*S78)/S25,"")</f>
        <v>12640.5</v>
      </c>
      <c r="T95" s="16">
        <f t="shared" si="81"/>
        <v>25425</v>
      </c>
      <c r="U95" s="16">
        <f t="shared" si="81"/>
        <v>38353.5</v>
      </c>
      <c r="V95" s="16">
        <f t="shared" si="81"/>
        <v>51453</v>
      </c>
      <c r="W95" s="16">
        <f t="shared" si="81"/>
        <v>64642.5</v>
      </c>
      <c r="X95" s="16">
        <f t="shared" si="81"/>
        <v>77742</v>
      </c>
      <c r="Y95" s="16">
        <f t="shared" si="81"/>
        <v>91354.5</v>
      </c>
      <c r="Z95" s="16">
        <f t="shared" si="81"/>
        <v>105993</v>
      </c>
      <c r="AA95" s="16">
        <f t="shared" si="81"/>
        <v>121934.25</v>
      </c>
      <c r="AB95" s="16">
        <f t="shared" si="81"/>
        <v>137875.5</v>
      </c>
      <c r="AC95" s="16" t="str">
        <f t="shared" si="81"/>
        <v/>
      </c>
      <c r="AD95" s="16" t="str">
        <f t="shared" si="81"/>
        <v/>
      </c>
    </row>
    <row r="96" spans="3:30" x14ac:dyDescent="0.2">
      <c r="C96" s="6">
        <f t="shared" si="72"/>
        <v>44742</v>
      </c>
      <c r="D96" s="204" t="str">
        <f t="shared" ref="D96:O96" si="82">IF(ROUND((D$56-$C62)/30,0)+1&lt;=0," ",ROUND((D$56-$C62)/30,0)+1)</f>
        <v xml:space="preserve"> </v>
      </c>
      <c r="E96" s="204" t="str">
        <f t="shared" si="82"/>
        <v xml:space="preserve"> </v>
      </c>
      <c r="F96" s="204" t="str">
        <f t="shared" si="82"/>
        <v xml:space="preserve"> </v>
      </c>
      <c r="G96" s="204" t="str">
        <f t="shared" si="82"/>
        <v xml:space="preserve"> </v>
      </c>
      <c r="H96" s="204" t="str">
        <f t="shared" si="82"/>
        <v xml:space="preserve"> </v>
      </c>
      <c r="I96" s="204">
        <f t="shared" si="82"/>
        <v>1</v>
      </c>
      <c r="J96" s="204">
        <f t="shared" si="82"/>
        <v>2</v>
      </c>
      <c r="K96" s="204">
        <f t="shared" si="82"/>
        <v>3</v>
      </c>
      <c r="L96" s="204">
        <f t="shared" si="82"/>
        <v>4</v>
      </c>
      <c r="M96" s="204">
        <f t="shared" si="82"/>
        <v>5</v>
      </c>
      <c r="N96" s="204">
        <f t="shared" si="82"/>
        <v>6</v>
      </c>
      <c r="O96" s="204">
        <f t="shared" si="82"/>
        <v>7</v>
      </c>
      <c r="R96" s="6">
        <f t="shared" si="78"/>
        <v>44681</v>
      </c>
      <c r="S96" s="16">
        <f t="shared" ref="S96:AD96" si="83">IFERROR(($S$90*S79)/S26,"")</f>
        <v>3819</v>
      </c>
      <c r="T96" s="16">
        <f t="shared" si="83"/>
        <v>7638</v>
      </c>
      <c r="U96" s="16">
        <f t="shared" si="83"/>
        <v>11457</v>
      </c>
      <c r="V96" s="16">
        <f t="shared" si="83"/>
        <v>15276</v>
      </c>
      <c r="W96" s="16">
        <f t="shared" si="83"/>
        <v>19095</v>
      </c>
      <c r="X96" s="16">
        <f t="shared" si="83"/>
        <v>41940</v>
      </c>
      <c r="Y96" s="16">
        <f t="shared" si="83"/>
        <v>45690</v>
      </c>
      <c r="Z96" s="16">
        <f t="shared" si="83"/>
        <v>49440</v>
      </c>
      <c r="AA96" s="16">
        <f t="shared" si="83"/>
        <v>53190</v>
      </c>
      <c r="AB96" s="16" t="str">
        <f t="shared" si="83"/>
        <v/>
      </c>
      <c r="AC96" s="16" t="str">
        <f t="shared" si="83"/>
        <v/>
      </c>
      <c r="AD96" s="16" t="str">
        <f t="shared" si="83"/>
        <v/>
      </c>
    </row>
    <row r="97" spans="3:30" x14ac:dyDescent="0.2">
      <c r="C97" s="6">
        <f t="shared" si="72"/>
        <v>44773</v>
      </c>
      <c r="D97" s="204" t="str">
        <f t="shared" ref="D97:O97" si="84">IF(ROUND((D$56-$C63)/30,0)+1&lt;=0," ",ROUND((D$56-$C63)/30,0)+1)</f>
        <v xml:space="preserve"> </v>
      </c>
      <c r="E97" s="204" t="str">
        <f t="shared" si="84"/>
        <v xml:space="preserve"> </v>
      </c>
      <c r="F97" s="204" t="str">
        <f t="shared" si="84"/>
        <v xml:space="preserve"> </v>
      </c>
      <c r="G97" s="204" t="str">
        <f t="shared" si="84"/>
        <v xml:space="preserve"> </v>
      </c>
      <c r="H97" s="204" t="str">
        <f t="shared" si="84"/>
        <v xml:space="preserve"> </v>
      </c>
      <c r="I97" s="204" t="str">
        <f t="shared" si="84"/>
        <v xml:space="preserve"> </v>
      </c>
      <c r="J97" s="204">
        <f t="shared" si="84"/>
        <v>1</v>
      </c>
      <c r="K97" s="204">
        <f t="shared" si="84"/>
        <v>2</v>
      </c>
      <c r="L97" s="204">
        <f t="shared" si="84"/>
        <v>3</v>
      </c>
      <c r="M97" s="204">
        <f t="shared" si="84"/>
        <v>4</v>
      </c>
      <c r="N97" s="204">
        <f t="shared" si="84"/>
        <v>5</v>
      </c>
      <c r="O97" s="204">
        <f t="shared" si="84"/>
        <v>6</v>
      </c>
      <c r="R97" s="6">
        <f t="shared" si="78"/>
        <v>44712</v>
      </c>
      <c r="S97" s="16">
        <f t="shared" ref="S97:AD97" si="85">IFERROR(($S$90*S80)/S27,"")</f>
        <v>11245.5</v>
      </c>
      <c r="T97" s="16">
        <f t="shared" si="85"/>
        <v>22491</v>
      </c>
      <c r="U97" s="16">
        <f t="shared" si="85"/>
        <v>33736.5</v>
      </c>
      <c r="V97" s="16">
        <f t="shared" si="85"/>
        <v>44982</v>
      </c>
      <c r="W97" s="16">
        <f t="shared" si="85"/>
        <v>56227.5</v>
      </c>
      <c r="X97" s="16">
        <f t="shared" si="85"/>
        <v>67473</v>
      </c>
      <c r="Y97" s="16">
        <f t="shared" si="85"/>
        <v>78718.5</v>
      </c>
      <c r="Z97" s="16">
        <f t="shared" si="85"/>
        <v>176112</v>
      </c>
      <c r="AA97" s="16" t="str">
        <f t="shared" si="85"/>
        <v/>
      </c>
      <c r="AB97" s="16" t="str">
        <f t="shared" si="85"/>
        <v/>
      </c>
      <c r="AC97" s="16" t="str">
        <f t="shared" si="85"/>
        <v/>
      </c>
      <c r="AD97" s="16" t="str">
        <f t="shared" si="85"/>
        <v/>
      </c>
    </row>
    <row r="98" spans="3:30" x14ac:dyDescent="0.2">
      <c r="C98" s="6">
        <f t="shared" si="72"/>
        <v>44804</v>
      </c>
      <c r="D98" s="204" t="str">
        <f t="shared" ref="D98:O98" si="86">IF(ROUND((D$56-$C64)/30,0)+1&lt;=0," ",ROUND((D$56-$C64)/30,0)+1)</f>
        <v xml:space="preserve"> </v>
      </c>
      <c r="E98" s="204" t="str">
        <f t="shared" si="86"/>
        <v xml:space="preserve"> </v>
      </c>
      <c r="F98" s="204" t="str">
        <f t="shared" si="86"/>
        <v xml:space="preserve"> </v>
      </c>
      <c r="G98" s="204" t="str">
        <f t="shared" si="86"/>
        <v xml:space="preserve"> </v>
      </c>
      <c r="H98" s="204" t="str">
        <f t="shared" si="86"/>
        <v xml:space="preserve"> </v>
      </c>
      <c r="I98" s="204" t="str">
        <f t="shared" si="86"/>
        <v xml:space="preserve"> </v>
      </c>
      <c r="J98" s="204" t="str">
        <f t="shared" si="86"/>
        <v xml:space="preserve"> </v>
      </c>
      <c r="K98" s="204">
        <f t="shared" si="86"/>
        <v>1</v>
      </c>
      <c r="L98" s="204">
        <f t="shared" si="86"/>
        <v>2</v>
      </c>
      <c r="M98" s="204">
        <f t="shared" si="86"/>
        <v>3</v>
      </c>
      <c r="N98" s="204">
        <f t="shared" si="86"/>
        <v>4</v>
      </c>
      <c r="O98" s="204">
        <f t="shared" si="86"/>
        <v>5</v>
      </c>
      <c r="R98" s="6">
        <f t="shared" si="78"/>
        <v>44742</v>
      </c>
      <c r="S98" s="16">
        <f t="shared" ref="S98:AD98" si="87">IFERROR(($S$90*S81)/S28,"")</f>
        <v>3750</v>
      </c>
      <c r="T98" s="16">
        <f t="shared" si="87"/>
        <v>7500</v>
      </c>
      <c r="U98" s="16">
        <f t="shared" si="87"/>
        <v>11250</v>
      </c>
      <c r="V98" s="16">
        <f t="shared" si="87"/>
        <v>15000</v>
      </c>
      <c r="W98" s="16">
        <f t="shared" si="87"/>
        <v>18750</v>
      </c>
      <c r="X98" s="16">
        <f t="shared" si="87"/>
        <v>22500</v>
      </c>
      <c r="Y98" s="16" t="str">
        <f t="shared" si="87"/>
        <v/>
      </c>
      <c r="Z98" s="16" t="str">
        <f t="shared" si="87"/>
        <v/>
      </c>
      <c r="AA98" s="16" t="str">
        <f t="shared" si="87"/>
        <v/>
      </c>
      <c r="AB98" s="16" t="str">
        <f t="shared" si="87"/>
        <v/>
      </c>
      <c r="AC98" s="16" t="str">
        <f t="shared" si="87"/>
        <v/>
      </c>
      <c r="AD98" s="16" t="str">
        <f t="shared" si="87"/>
        <v/>
      </c>
    </row>
    <row r="99" spans="3:30" x14ac:dyDescent="0.2">
      <c r="C99" s="6">
        <f t="shared" si="72"/>
        <v>44834</v>
      </c>
      <c r="D99" s="204" t="str">
        <f t="shared" ref="D99:O99" si="88">IF(ROUND((D$56-$C65)/30,0)+1&lt;=0," ",ROUND((D$56-$C65)/30,0)+1)</f>
        <v xml:space="preserve"> </v>
      </c>
      <c r="E99" s="204" t="str">
        <f t="shared" si="88"/>
        <v xml:space="preserve"> </v>
      </c>
      <c r="F99" s="204" t="str">
        <f t="shared" si="88"/>
        <v xml:space="preserve"> </v>
      </c>
      <c r="G99" s="204" t="str">
        <f t="shared" si="88"/>
        <v xml:space="preserve"> </v>
      </c>
      <c r="H99" s="204" t="str">
        <f t="shared" si="88"/>
        <v xml:space="preserve"> </v>
      </c>
      <c r="I99" s="204" t="str">
        <f t="shared" si="88"/>
        <v xml:space="preserve"> </v>
      </c>
      <c r="J99" s="204" t="str">
        <f t="shared" si="88"/>
        <v xml:space="preserve"> </v>
      </c>
      <c r="K99" s="204" t="str">
        <f t="shared" si="88"/>
        <v xml:space="preserve"> </v>
      </c>
      <c r="L99" s="204">
        <f t="shared" si="88"/>
        <v>1</v>
      </c>
      <c r="M99" s="204">
        <f t="shared" si="88"/>
        <v>2</v>
      </c>
      <c r="N99" s="204">
        <f t="shared" si="88"/>
        <v>3</v>
      </c>
      <c r="O99" s="204">
        <f t="shared" si="88"/>
        <v>4</v>
      </c>
      <c r="R99" s="6">
        <f t="shared" si="78"/>
        <v>44773</v>
      </c>
      <c r="S99" s="16">
        <f t="shared" ref="S99:AD99" si="89">IFERROR(($S$90*S82)/S29,"")</f>
        <v>5265</v>
      </c>
      <c r="T99" s="16">
        <f t="shared" si="89"/>
        <v>10530</v>
      </c>
      <c r="U99" s="16">
        <f t="shared" si="89"/>
        <v>15795</v>
      </c>
      <c r="V99" s="16">
        <f t="shared" si="89"/>
        <v>21060</v>
      </c>
      <c r="W99" s="16">
        <f t="shared" si="89"/>
        <v>26325</v>
      </c>
      <c r="X99" s="16">
        <f t="shared" si="89"/>
        <v>31590</v>
      </c>
      <c r="Y99" s="16" t="str">
        <f t="shared" si="89"/>
        <v/>
      </c>
      <c r="Z99" s="16" t="str">
        <f t="shared" si="89"/>
        <v/>
      </c>
      <c r="AA99" s="16" t="str">
        <f t="shared" si="89"/>
        <v/>
      </c>
      <c r="AB99" s="16" t="str">
        <f t="shared" si="89"/>
        <v/>
      </c>
      <c r="AC99" s="16" t="str">
        <f t="shared" si="89"/>
        <v/>
      </c>
      <c r="AD99" s="16" t="str">
        <f t="shared" si="89"/>
        <v/>
      </c>
    </row>
    <row r="100" spans="3:30" x14ac:dyDescent="0.2">
      <c r="C100" s="6">
        <f t="shared" si="72"/>
        <v>44865</v>
      </c>
      <c r="D100" s="204" t="str">
        <f t="shared" ref="D100:O100" si="90">IF(ROUND((D$56-$C66)/30,0)+1&lt;=0," ",ROUND((D$56-$C66)/30,0)+1)</f>
        <v xml:space="preserve"> </v>
      </c>
      <c r="E100" s="204" t="str">
        <f t="shared" si="90"/>
        <v xml:space="preserve"> </v>
      </c>
      <c r="F100" s="204" t="str">
        <f t="shared" si="90"/>
        <v xml:space="preserve"> </v>
      </c>
      <c r="G100" s="204" t="str">
        <f t="shared" si="90"/>
        <v xml:space="preserve"> </v>
      </c>
      <c r="H100" s="204" t="str">
        <f t="shared" si="90"/>
        <v xml:space="preserve"> </v>
      </c>
      <c r="I100" s="204" t="str">
        <f t="shared" si="90"/>
        <v xml:space="preserve"> </v>
      </c>
      <c r="J100" s="204" t="str">
        <f t="shared" si="90"/>
        <v xml:space="preserve"> </v>
      </c>
      <c r="K100" s="204" t="str">
        <f t="shared" si="90"/>
        <v xml:space="preserve"> </v>
      </c>
      <c r="L100" s="204" t="str">
        <f t="shared" si="90"/>
        <v xml:space="preserve"> </v>
      </c>
      <c r="M100" s="204">
        <f t="shared" si="90"/>
        <v>1</v>
      </c>
      <c r="N100" s="204">
        <f t="shared" si="90"/>
        <v>2</v>
      </c>
      <c r="O100" s="204">
        <f t="shared" si="90"/>
        <v>3</v>
      </c>
      <c r="R100" s="6">
        <f t="shared" si="78"/>
        <v>44804</v>
      </c>
      <c r="S100" s="16">
        <f t="shared" ref="S100:AD100" si="91">IFERROR(($S$90*S83)/S30,"")</f>
        <v>8265</v>
      </c>
      <c r="T100" s="16">
        <f t="shared" si="91"/>
        <v>16530</v>
      </c>
      <c r="U100" s="16">
        <f t="shared" si="91"/>
        <v>24795</v>
      </c>
      <c r="V100" s="16">
        <f t="shared" si="91"/>
        <v>33060</v>
      </c>
      <c r="W100" s="16">
        <f t="shared" si="91"/>
        <v>58770</v>
      </c>
      <c r="X100" s="16" t="str">
        <f t="shared" si="91"/>
        <v/>
      </c>
      <c r="Y100" s="16" t="str">
        <f t="shared" si="91"/>
        <v/>
      </c>
      <c r="Z100" s="16" t="str">
        <f t="shared" si="91"/>
        <v/>
      </c>
      <c r="AA100" s="16" t="str">
        <f t="shared" si="91"/>
        <v/>
      </c>
      <c r="AB100" s="16" t="str">
        <f t="shared" si="91"/>
        <v/>
      </c>
      <c r="AC100" s="16" t="str">
        <f t="shared" si="91"/>
        <v/>
      </c>
      <c r="AD100" s="16" t="str">
        <f t="shared" si="91"/>
        <v/>
      </c>
    </row>
    <row r="101" spans="3:30" x14ac:dyDescent="0.2">
      <c r="C101" s="6">
        <f t="shared" si="72"/>
        <v>44895</v>
      </c>
      <c r="D101" s="204" t="str">
        <f t="shared" ref="D101:O101" si="92">IF(ROUND((D$56-$C67)/30,0)+1&lt;=0," ",ROUND((D$56-$C67)/30,0)+1)</f>
        <v xml:space="preserve"> </v>
      </c>
      <c r="E101" s="204" t="str">
        <f t="shared" si="92"/>
        <v xml:space="preserve"> </v>
      </c>
      <c r="F101" s="204" t="str">
        <f t="shared" si="92"/>
        <v xml:space="preserve"> </v>
      </c>
      <c r="G101" s="204" t="str">
        <f t="shared" si="92"/>
        <v xml:space="preserve"> </v>
      </c>
      <c r="H101" s="204" t="str">
        <f t="shared" si="92"/>
        <v xml:space="preserve"> </v>
      </c>
      <c r="I101" s="204" t="str">
        <f t="shared" si="92"/>
        <v xml:space="preserve"> </v>
      </c>
      <c r="J101" s="204" t="str">
        <f t="shared" si="92"/>
        <v xml:space="preserve"> </v>
      </c>
      <c r="K101" s="204" t="str">
        <f t="shared" si="92"/>
        <v xml:space="preserve"> </v>
      </c>
      <c r="L101" s="204" t="str">
        <f t="shared" si="92"/>
        <v xml:space="preserve"> </v>
      </c>
      <c r="M101" s="204" t="str">
        <f t="shared" si="92"/>
        <v xml:space="preserve"> </v>
      </c>
      <c r="N101" s="204">
        <f t="shared" si="92"/>
        <v>1</v>
      </c>
      <c r="O101" s="204">
        <f t="shared" si="92"/>
        <v>2</v>
      </c>
      <c r="R101" s="6">
        <f t="shared" si="78"/>
        <v>44834</v>
      </c>
      <c r="S101" s="16">
        <f t="shared" ref="S101:AD101" si="93">IFERROR(($S$90*S84)/S31,"")</f>
        <v>7725</v>
      </c>
      <c r="T101" s="16">
        <f t="shared" si="93"/>
        <v>15450</v>
      </c>
      <c r="U101" s="16">
        <f t="shared" si="93"/>
        <v>23175</v>
      </c>
      <c r="V101" s="16">
        <f t="shared" si="93"/>
        <v>30900</v>
      </c>
      <c r="W101" s="16" t="str">
        <f t="shared" si="93"/>
        <v/>
      </c>
      <c r="X101" s="16" t="str">
        <f t="shared" si="93"/>
        <v/>
      </c>
      <c r="Y101" s="16" t="str">
        <f t="shared" si="93"/>
        <v/>
      </c>
      <c r="Z101" s="16" t="str">
        <f t="shared" si="93"/>
        <v/>
      </c>
      <c r="AA101" s="16" t="str">
        <f t="shared" si="93"/>
        <v/>
      </c>
      <c r="AB101" s="16" t="str">
        <f t="shared" si="93"/>
        <v/>
      </c>
      <c r="AC101" s="16" t="str">
        <f t="shared" si="93"/>
        <v/>
      </c>
      <c r="AD101" s="16" t="str">
        <f t="shared" si="93"/>
        <v/>
      </c>
    </row>
    <row r="102" spans="3:30" ht="16" thickBot="1" x14ac:dyDescent="0.25">
      <c r="C102" s="7">
        <f t="shared" si="72"/>
        <v>44926</v>
      </c>
      <c r="D102" s="204" t="str">
        <f t="shared" ref="D102:O102" si="94">IF(ROUND((D$56-$C68)/30,0)+1&lt;=0," ",ROUND((D$56-$C68)/30,0)+1)</f>
        <v xml:space="preserve"> </v>
      </c>
      <c r="E102" s="204" t="str">
        <f t="shared" si="94"/>
        <v xml:space="preserve"> </v>
      </c>
      <c r="F102" s="204" t="str">
        <f t="shared" si="94"/>
        <v xml:space="preserve"> </v>
      </c>
      <c r="G102" s="204" t="str">
        <f t="shared" si="94"/>
        <v xml:space="preserve"> </v>
      </c>
      <c r="H102" s="204" t="str">
        <f t="shared" si="94"/>
        <v xml:space="preserve"> </v>
      </c>
      <c r="I102" s="204" t="str">
        <f t="shared" si="94"/>
        <v xml:space="preserve"> </v>
      </c>
      <c r="J102" s="204" t="str">
        <f t="shared" si="94"/>
        <v xml:space="preserve"> </v>
      </c>
      <c r="K102" s="204" t="str">
        <f t="shared" si="94"/>
        <v xml:space="preserve"> </v>
      </c>
      <c r="L102" s="204" t="str">
        <f t="shared" si="94"/>
        <v xml:space="preserve"> </v>
      </c>
      <c r="M102" s="204" t="str">
        <f t="shared" si="94"/>
        <v xml:space="preserve"> </v>
      </c>
      <c r="N102" s="204" t="str">
        <f t="shared" si="94"/>
        <v xml:space="preserve"> </v>
      </c>
      <c r="O102" s="204">
        <f t="shared" si="94"/>
        <v>1</v>
      </c>
      <c r="R102" s="6">
        <f t="shared" si="78"/>
        <v>44865</v>
      </c>
      <c r="S102" s="16">
        <f t="shared" ref="S102:AD102" si="95">IFERROR(($S$90*S85)/S32,"")</f>
        <v>11238.75</v>
      </c>
      <c r="T102" s="16">
        <f t="shared" si="95"/>
        <v>22477.5</v>
      </c>
      <c r="U102" s="16">
        <f t="shared" si="95"/>
        <v>58320</v>
      </c>
      <c r="V102" s="16" t="str">
        <f t="shared" si="95"/>
        <v/>
      </c>
      <c r="W102" s="16" t="str">
        <f t="shared" si="95"/>
        <v/>
      </c>
      <c r="X102" s="16" t="str">
        <f t="shared" si="95"/>
        <v/>
      </c>
      <c r="Y102" s="16" t="str">
        <f t="shared" si="95"/>
        <v/>
      </c>
      <c r="Z102" s="16" t="str">
        <f t="shared" si="95"/>
        <v/>
      </c>
      <c r="AA102" s="16" t="str">
        <f t="shared" si="95"/>
        <v/>
      </c>
      <c r="AB102" s="16" t="str">
        <f t="shared" si="95"/>
        <v/>
      </c>
      <c r="AC102" s="16" t="str">
        <f t="shared" si="95"/>
        <v/>
      </c>
      <c r="AD102" s="16" t="str">
        <f t="shared" si="95"/>
        <v/>
      </c>
    </row>
    <row r="103" spans="3:30" ht="16" thickBot="1" x14ac:dyDescent="0.25">
      <c r="R103" s="6">
        <f t="shared" si="78"/>
        <v>44895</v>
      </c>
      <c r="S103" s="16">
        <f t="shared" ref="S103:AD103" si="96">IFERROR(($S$90*S86)/S33,"")</f>
        <v>9807</v>
      </c>
      <c r="T103" s="16">
        <f t="shared" si="96"/>
        <v>19614</v>
      </c>
      <c r="U103" s="16" t="str">
        <f t="shared" si="96"/>
        <v/>
      </c>
      <c r="V103" s="16" t="str">
        <f t="shared" si="96"/>
        <v/>
      </c>
      <c r="W103" s="16" t="str">
        <f t="shared" si="96"/>
        <v/>
      </c>
      <c r="X103" s="16" t="str">
        <f t="shared" si="96"/>
        <v/>
      </c>
      <c r="Y103" s="16" t="str">
        <f t="shared" si="96"/>
        <v/>
      </c>
      <c r="Z103" s="16" t="str">
        <f t="shared" si="96"/>
        <v/>
      </c>
      <c r="AA103" s="16" t="str">
        <f t="shared" si="96"/>
        <v/>
      </c>
      <c r="AB103" s="16" t="str">
        <f t="shared" si="96"/>
        <v/>
      </c>
      <c r="AC103" s="16" t="str">
        <f t="shared" si="96"/>
        <v/>
      </c>
      <c r="AD103" s="16" t="str">
        <f t="shared" si="96"/>
        <v/>
      </c>
    </row>
    <row r="104" spans="3:30" ht="16" thickBot="1" x14ac:dyDescent="0.25">
      <c r="D104" s="176" t="s">
        <v>1923</v>
      </c>
      <c r="E104" s="177" t="s">
        <v>1924</v>
      </c>
      <c r="F104" s="177" t="s">
        <v>1925</v>
      </c>
      <c r="G104" s="214" t="s">
        <v>1926</v>
      </c>
      <c r="R104" s="7">
        <f t="shared" si="78"/>
        <v>44926</v>
      </c>
      <c r="S104" s="16">
        <f t="shared" ref="S104:AD104" si="97">IFERROR(($S$90*S87)/S34,"")</f>
        <v>8464.5</v>
      </c>
      <c r="T104" s="16" t="str">
        <f t="shared" si="97"/>
        <v/>
      </c>
      <c r="U104" s="16" t="str">
        <f t="shared" si="97"/>
        <v/>
      </c>
      <c r="V104" s="16" t="str">
        <f t="shared" si="97"/>
        <v/>
      </c>
      <c r="W104" s="16" t="str">
        <f t="shared" si="97"/>
        <v/>
      </c>
      <c r="X104" s="16" t="str">
        <f t="shared" si="97"/>
        <v/>
      </c>
      <c r="Y104" s="16" t="str">
        <f t="shared" si="97"/>
        <v/>
      </c>
      <c r="Z104" s="16" t="str">
        <f t="shared" si="97"/>
        <v/>
      </c>
      <c r="AA104" s="16" t="str">
        <f t="shared" si="97"/>
        <v/>
      </c>
      <c r="AB104" s="16" t="str">
        <f t="shared" si="97"/>
        <v/>
      </c>
      <c r="AC104" s="16" t="str">
        <f t="shared" si="97"/>
        <v/>
      </c>
      <c r="AD104" s="16" t="str">
        <f t="shared" si="97"/>
        <v/>
      </c>
    </row>
    <row r="105" spans="3:30" x14ac:dyDescent="0.2">
      <c r="C105" s="1" t="s">
        <v>470</v>
      </c>
      <c r="D105" s="230">
        <f>E39</f>
        <v>0</v>
      </c>
      <c r="E105" s="230">
        <f>D109</f>
        <v>193644</v>
      </c>
      <c r="F105" s="230">
        <f>E109</f>
        <v>241924</v>
      </c>
      <c r="G105" s="230">
        <f>F109</f>
        <v>289656</v>
      </c>
    </row>
    <row r="106" spans="3:30" ht="16" thickBot="1" x14ac:dyDescent="0.25">
      <c r="C106" t="s">
        <v>471</v>
      </c>
      <c r="D106" s="226">
        <f>SUM(E40:G40)</f>
        <v>203124</v>
      </c>
      <c r="E106" s="226">
        <f>SUM(H40:J40)</f>
        <v>45172</v>
      </c>
      <c r="F106" s="226">
        <f>SUM(K40:M40)</f>
        <v>67700</v>
      </c>
      <c r="G106" s="226">
        <f>SUM(N40:P40)</f>
        <v>114342</v>
      </c>
    </row>
    <row r="107" spans="3:30" ht="16" thickBot="1" x14ac:dyDescent="0.25">
      <c r="C107" t="s">
        <v>472</v>
      </c>
      <c r="D107" s="226">
        <f>SUM(E41:G41)</f>
        <v>120</v>
      </c>
      <c r="E107" s="226">
        <f>SUM(H41:J41)</f>
        <v>3768</v>
      </c>
      <c r="F107" s="226">
        <f>SUM(K41:M41)</f>
        <v>3216</v>
      </c>
      <c r="G107" s="226">
        <f>SUM(N41:P41)</f>
        <v>15684</v>
      </c>
      <c r="R107" s="19" t="s">
        <v>1927</v>
      </c>
      <c r="S107" s="20">
        <v>0.03</v>
      </c>
    </row>
    <row r="108" spans="3:30" ht="16" thickBot="1" x14ac:dyDescent="0.25">
      <c r="C108" t="s">
        <v>473</v>
      </c>
      <c r="D108" s="226">
        <f>SUM(E42:G42)</f>
        <v>-9600</v>
      </c>
      <c r="E108" s="226">
        <f>SUM(H42:J42)</f>
        <v>-660</v>
      </c>
      <c r="F108" s="226">
        <f>SUM(K42:M42)</f>
        <v>-23184</v>
      </c>
      <c r="G108" s="226">
        <f>SUM(N42:P42)</f>
        <v>-34082</v>
      </c>
      <c r="S108" s="12" t="s">
        <v>447</v>
      </c>
      <c r="T108" s="12"/>
      <c r="U108" s="12"/>
      <c r="V108" s="12"/>
      <c r="W108" s="12"/>
      <c r="X108" s="12"/>
      <c r="Y108" s="12"/>
      <c r="Z108" s="12"/>
      <c r="AA108" s="12"/>
      <c r="AB108" s="12"/>
      <c r="AC108" s="12"/>
      <c r="AD108" s="12"/>
    </row>
    <row r="109" spans="3:30" ht="16" thickBot="1" x14ac:dyDescent="0.25">
      <c r="C109" s="1" t="s">
        <v>474</v>
      </c>
      <c r="D109" s="225">
        <f>SUM(D105:D108)</f>
        <v>193644</v>
      </c>
      <c r="E109" s="225">
        <f>SUM(E105:E108)</f>
        <v>241924</v>
      </c>
      <c r="F109" s="225">
        <f>SUM(F105:F108)</f>
        <v>289656</v>
      </c>
      <c r="G109" s="225">
        <f>SUM(G105:G108)</f>
        <v>385600</v>
      </c>
      <c r="R109" s="26" t="s">
        <v>1928</v>
      </c>
      <c r="S109" s="9">
        <v>1</v>
      </c>
      <c r="T109" s="4">
        <f t="shared" ref="T109:AD109" si="98">S109+1</f>
        <v>2</v>
      </c>
      <c r="U109" s="4">
        <f t="shared" si="98"/>
        <v>3</v>
      </c>
      <c r="V109" s="4">
        <f t="shared" si="98"/>
        <v>4</v>
      </c>
      <c r="W109" s="4">
        <f t="shared" si="98"/>
        <v>5</v>
      </c>
      <c r="X109" s="4">
        <f t="shared" si="98"/>
        <v>6</v>
      </c>
      <c r="Y109" s="4">
        <f t="shared" si="98"/>
        <v>7</v>
      </c>
      <c r="Z109" s="4">
        <f t="shared" si="98"/>
        <v>8</v>
      </c>
      <c r="AA109" s="4">
        <f t="shared" si="98"/>
        <v>9</v>
      </c>
      <c r="AB109" s="4">
        <f t="shared" si="98"/>
        <v>10</v>
      </c>
      <c r="AC109" s="4">
        <f t="shared" si="98"/>
        <v>11</v>
      </c>
      <c r="AD109" s="10">
        <f t="shared" si="98"/>
        <v>12</v>
      </c>
    </row>
    <row r="110" spans="3:30" x14ac:dyDescent="0.2">
      <c r="D110" s="227"/>
      <c r="E110" s="227"/>
      <c r="F110" s="227"/>
      <c r="G110" s="227"/>
      <c r="R110" s="5">
        <v>44592</v>
      </c>
      <c r="S110" s="16">
        <f t="shared" ref="S110:AD110" si="99">IFERROR(S93/(1+$S$107)^S$109,"")</f>
        <v>26446.601941747573</v>
      </c>
      <c r="T110" s="16">
        <f t="shared" si="99"/>
        <v>73635.592421528898</v>
      </c>
      <c r="U110" s="16">
        <f t="shared" si="99"/>
        <v>105589.04465616755</v>
      </c>
      <c r="V110" s="16">
        <f t="shared" si="99"/>
        <v>135618.66299385077</v>
      </c>
      <c r="W110" s="16">
        <f t="shared" si="99"/>
        <v>163809.40815455277</v>
      </c>
      <c r="X110" s="16">
        <f t="shared" si="99"/>
        <v>190242.92374825894</v>
      </c>
      <c r="Y110" s="16">
        <f t="shared" si="99"/>
        <v>214997.65742940959</v>
      </c>
      <c r="Z110" s="16">
        <f t="shared" si="99"/>
        <v>238148.97780782814</v>
      </c>
      <c r="AA110" s="16">
        <f t="shared" si="99"/>
        <v>259769.28726054891</v>
      </c>
      <c r="AB110" s="16">
        <f t="shared" si="99"/>
        <v>279928.130784148</v>
      </c>
      <c r="AC110" s="16">
        <f t="shared" si="99"/>
        <v>298692.30102252425</v>
      </c>
      <c r="AD110" s="16">
        <f t="shared" si="99"/>
        <v>316125.93960057688</v>
      </c>
    </row>
    <row r="111" spans="3:30" x14ac:dyDescent="0.2">
      <c r="C111" t="s">
        <v>477</v>
      </c>
      <c r="D111" s="228">
        <f>G51</f>
        <v>9</v>
      </c>
      <c r="E111" s="228">
        <f>J51</f>
        <v>14</v>
      </c>
      <c r="F111" s="228">
        <f>M51</f>
        <v>18</v>
      </c>
      <c r="G111" s="228">
        <f>P51</f>
        <v>23</v>
      </c>
      <c r="R111" s="6">
        <f t="shared" ref="R111:R121" si="100">EOMONTH(R110,1)</f>
        <v>44620</v>
      </c>
      <c r="S111" s="16">
        <f t="shared" ref="S111:AD111" si="101">IFERROR(S94/(1+$S$107)^S$109,"")</f>
        <v>6492.2330097087379</v>
      </c>
      <c r="T111" s="16">
        <f t="shared" si="101"/>
        <v>12634.555566028845</v>
      </c>
      <c r="U111" s="16">
        <f t="shared" si="101"/>
        <v>18262.566954051654</v>
      </c>
      <c r="V111" s="16">
        <f t="shared" si="101"/>
        <v>23671.960417617702</v>
      </c>
      <c r="W111" s="16">
        <f t="shared" si="101"/>
        <v>28918.959496479103</v>
      </c>
      <c r="X111" s="16">
        <f t="shared" si="101"/>
        <v>33840.226359816421</v>
      </c>
      <c r="Y111" s="16">
        <f t="shared" si="101"/>
        <v>54290.933303907077</v>
      </c>
      <c r="Z111" s="16">
        <f t="shared" si="101"/>
        <v>111344.59368151201</v>
      </c>
      <c r="AA111" s="16">
        <f t="shared" si="101"/>
        <v>113854.27125657516</v>
      </c>
      <c r="AB111" s="16">
        <f t="shared" si="101"/>
        <v>116123.29635878293</v>
      </c>
      <c r="AC111" s="16">
        <f t="shared" si="101"/>
        <v>118163.55852815315</v>
      </c>
      <c r="AD111" s="16" t="str">
        <f t="shared" si="101"/>
        <v/>
      </c>
    </row>
    <row r="112" spans="3:30" x14ac:dyDescent="0.2">
      <c r="C112" t="s">
        <v>478</v>
      </c>
      <c r="D112" s="228">
        <f>SUM(E49:G49)</f>
        <v>10</v>
      </c>
      <c r="E112" s="228">
        <f>SUM(H49:J49)</f>
        <v>5</v>
      </c>
      <c r="F112" s="228">
        <f>SUM(K49:M49)</f>
        <v>7</v>
      </c>
      <c r="G112" s="228">
        <f>SUM(N49:P49)</f>
        <v>9</v>
      </c>
      <c r="J112" s="217"/>
      <c r="R112" s="6">
        <f t="shared" si="100"/>
        <v>44651</v>
      </c>
      <c r="S112" s="16">
        <f t="shared" ref="S112:AD112" si="102">IFERROR(S95/(1+$S$107)^S$109,"")</f>
        <v>12272.330097087379</v>
      </c>
      <c r="T112" s="16">
        <f t="shared" si="102"/>
        <v>23965.500989725704</v>
      </c>
      <c r="U112" s="16">
        <f t="shared" si="102"/>
        <v>35098.885632001402</v>
      </c>
      <c r="V112" s="16">
        <f t="shared" si="102"/>
        <v>45715.324076405945</v>
      </c>
      <c r="W112" s="16">
        <f t="shared" si="102"/>
        <v>55761.188344553331</v>
      </c>
      <c r="X112" s="16">
        <f t="shared" si="102"/>
        <v>65107.701083100663</v>
      </c>
      <c r="Y112" s="16">
        <f t="shared" si="102"/>
        <v>74279.568473016407</v>
      </c>
      <c r="Z112" s="16">
        <f t="shared" si="102"/>
        <v>83671.852972636989</v>
      </c>
      <c r="AA112" s="16">
        <f t="shared" si="102"/>
        <v>93452.449445770893</v>
      </c>
      <c r="AB112" s="16">
        <f t="shared" si="102"/>
        <v>102592.32056334344</v>
      </c>
      <c r="AC112" s="16" t="str">
        <f t="shared" si="102"/>
        <v/>
      </c>
      <c r="AD112" s="16" t="str">
        <f t="shared" si="102"/>
        <v/>
      </c>
    </row>
    <row r="113" spans="3:30" x14ac:dyDescent="0.2">
      <c r="C113" s="1" t="s">
        <v>479</v>
      </c>
      <c r="D113" s="229">
        <f>D109/D111</f>
        <v>21516</v>
      </c>
      <c r="E113" s="229">
        <f>E109/E111</f>
        <v>17280.285714285714</v>
      </c>
      <c r="F113" s="229">
        <f>F109/F111</f>
        <v>16092</v>
      </c>
      <c r="G113" s="229">
        <f>G109/G111</f>
        <v>16765.217391304348</v>
      </c>
      <c r="R113" s="6">
        <f t="shared" si="100"/>
        <v>44681</v>
      </c>
      <c r="S113" s="16">
        <f t="shared" ref="S113:AD113" si="103">IFERROR(S96/(1+$S$107)^S$109,"")</f>
        <v>3707.7669902912621</v>
      </c>
      <c r="T113" s="16">
        <f t="shared" si="103"/>
        <v>7199.5475539636163</v>
      </c>
      <c r="U113" s="16">
        <f t="shared" si="103"/>
        <v>10484.77799120915</v>
      </c>
      <c r="V113" s="16">
        <f t="shared" si="103"/>
        <v>13572.528143960064</v>
      </c>
      <c r="W113" s="16">
        <f t="shared" si="103"/>
        <v>16471.514737815614</v>
      </c>
      <c r="X113" s="16">
        <f t="shared" si="103"/>
        <v>35124.089725312464</v>
      </c>
      <c r="Y113" s="16">
        <f t="shared" si="103"/>
        <v>37150.151153277831</v>
      </c>
      <c r="Z113" s="16">
        <f t="shared" si="103"/>
        <v>39028.392544480987</v>
      </c>
      <c r="AA113" s="16">
        <f t="shared" si="103"/>
        <v>40765.705993357515</v>
      </c>
      <c r="AB113" s="16" t="str">
        <f t="shared" si="103"/>
        <v/>
      </c>
      <c r="AC113" s="16" t="str">
        <f t="shared" si="103"/>
        <v/>
      </c>
      <c r="AD113" s="16" t="str">
        <f t="shared" si="103"/>
        <v/>
      </c>
    </row>
    <row r="114" spans="3:30" x14ac:dyDescent="0.2">
      <c r="D114" s="227"/>
      <c r="E114" s="227"/>
      <c r="F114" s="227"/>
      <c r="G114" s="227"/>
      <c r="R114" s="6">
        <f t="shared" si="100"/>
        <v>44712</v>
      </c>
      <c r="S114" s="16">
        <f t="shared" ref="S114:AD114" si="104">IFERROR(S97/(1+$S$107)^S$109,"")</f>
        <v>10917.961165048544</v>
      </c>
      <c r="T114" s="16">
        <f t="shared" si="104"/>
        <v>21199.924592327272</v>
      </c>
      <c r="U114" s="16">
        <f t="shared" si="104"/>
        <v>30873.676590767867</v>
      </c>
      <c r="V114" s="16">
        <f t="shared" si="104"/>
        <v>39965.92438934352</v>
      </c>
      <c r="W114" s="16">
        <f t="shared" si="104"/>
        <v>48502.335423960591</v>
      </c>
      <c r="X114" s="16">
        <f t="shared" si="104"/>
        <v>56507.575251216214</v>
      </c>
      <c r="Y114" s="16">
        <f t="shared" si="104"/>
        <v>64005.344135681793</v>
      </c>
      <c r="Z114" s="16">
        <f t="shared" si="104"/>
        <v>139024.43907349586</v>
      </c>
      <c r="AA114" s="16" t="str">
        <f t="shared" si="104"/>
        <v/>
      </c>
      <c r="AB114" s="16" t="str">
        <f t="shared" si="104"/>
        <v/>
      </c>
      <c r="AC114" s="16" t="str">
        <f t="shared" si="104"/>
        <v/>
      </c>
      <c r="AD114" s="16" t="str">
        <f t="shared" si="104"/>
        <v/>
      </c>
    </row>
    <row r="115" spans="3:30" x14ac:dyDescent="0.2">
      <c r="C115" s="215" t="s">
        <v>488</v>
      </c>
      <c r="D115" s="227"/>
      <c r="E115" s="227"/>
      <c r="F115" s="227"/>
      <c r="G115" s="227"/>
      <c r="R115" s="6">
        <f t="shared" si="100"/>
        <v>44742</v>
      </c>
      <c r="S115" s="16">
        <f t="shared" ref="S115:AD115" si="105">IFERROR(S98/(1+$S$107)^S$109,"")</f>
        <v>3640.7766990291261</v>
      </c>
      <c r="T115" s="16">
        <f t="shared" si="105"/>
        <v>7069.4693185031583</v>
      </c>
      <c r="U115" s="16">
        <f t="shared" si="105"/>
        <v>10295.343667723046</v>
      </c>
      <c r="V115" s="16">
        <f t="shared" si="105"/>
        <v>13327.305718735335</v>
      </c>
      <c r="W115" s="16">
        <f t="shared" si="105"/>
        <v>16173.914707203077</v>
      </c>
      <c r="X115" s="16">
        <f t="shared" si="105"/>
        <v>18843.395775382225</v>
      </c>
      <c r="Y115" s="16" t="str">
        <f t="shared" si="105"/>
        <v/>
      </c>
      <c r="Z115" s="16" t="str">
        <f t="shared" si="105"/>
        <v/>
      </c>
      <c r="AA115" s="16" t="str">
        <f t="shared" si="105"/>
        <v/>
      </c>
      <c r="AB115" s="16" t="str">
        <f t="shared" si="105"/>
        <v/>
      </c>
      <c r="AC115" s="16" t="str">
        <f t="shared" si="105"/>
        <v/>
      </c>
      <c r="AD115" s="16" t="str">
        <f t="shared" si="105"/>
        <v/>
      </c>
    </row>
    <row r="116" spans="3:30" x14ac:dyDescent="0.2">
      <c r="C116" t="s">
        <v>483</v>
      </c>
      <c r="D116" s="231" t="str">
        <f>IFERROR(SUM(D105,D108)/D105,"n.a.")</f>
        <v>n.a.</v>
      </c>
      <c r="E116" s="232">
        <f>IFERROR(SUM(E105,E108)/E105,"n.a.")</f>
        <v>0.99659168370824813</v>
      </c>
      <c r="F116" s="232">
        <f>IFERROR(SUM(F105,F108)/F105,"n.a.")</f>
        <v>0.90416825118632294</v>
      </c>
      <c r="G116" s="232">
        <f>IFERROR(SUM(G105,G108)/G105,"n.a.")</f>
        <v>0.88233628856298507</v>
      </c>
      <c r="H116" s="218"/>
      <c r="R116" s="6">
        <f t="shared" si="100"/>
        <v>44773</v>
      </c>
      <c r="S116" s="16">
        <f t="shared" ref="S116:AD116" si="106">IFERROR(S99/(1+$S$107)^S$109,"")</f>
        <v>5111.6504854368932</v>
      </c>
      <c r="T116" s="16">
        <f t="shared" si="106"/>
        <v>9925.534923178433</v>
      </c>
      <c r="U116" s="16">
        <f t="shared" si="106"/>
        <v>14454.662509483156</v>
      </c>
      <c r="V116" s="16">
        <f t="shared" si="106"/>
        <v>18711.537229104411</v>
      </c>
      <c r="W116" s="16">
        <f t="shared" si="106"/>
        <v>22708.176248913122</v>
      </c>
      <c r="X116" s="16">
        <f t="shared" si="106"/>
        <v>26456.127668636644</v>
      </c>
      <c r="Y116" s="16" t="str">
        <f t="shared" si="106"/>
        <v/>
      </c>
      <c r="Z116" s="16" t="str">
        <f t="shared" si="106"/>
        <v/>
      </c>
      <c r="AA116" s="16" t="str">
        <f t="shared" si="106"/>
        <v/>
      </c>
      <c r="AB116" s="16" t="str">
        <f t="shared" si="106"/>
        <v/>
      </c>
      <c r="AC116" s="16" t="str">
        <f t="shared" si="106"/>
        <v/>
      </c>
      <c r="AD116" s="16" t="str">
        <f t="shared" si="106"/>
        <v/>
      </c>
    </row>
    <row r="117" spans="3:30" x14ac:dyDescent="0.2">
      <c r="C117" t="s">
        <v>484</v>
      </c>
      <c r="D117" s="231" t="str">
        <f>IFERROR((D105+D107+D108)/D105,"n.a.")</f>
        <v>n.a.</v>
      </c>
      <c r="E117" s="232">
        <f>IFERROR((E105+E107+E108)/E105,"n.a.")</f>
        <v>1.0160500712647953</v>
      </c>
      <c r="F117" s="232">
        <f>IFERROR((F105+F107+F108)/F105,"n.a.")</f>
        <v>0.91746168218118085</v>
      </c>
      <c r="G117" s="232">
        <f>IFERROR((G105+G107+G108)/G105,"n.a.")</f>
        <v>0.93648327671444753</v>
      </c>
      <c r="H117" s="218"/>
      <c r="R117" s="6">
        <f t="shared" si="100"/>
        <v>44804</v>
      </c>
      <c r="S117" s="16">
        <f t="shared" ref="S117:AD117" si="107">IFERROR(S100/(1+$S$107)^S$109,"")</f>
        <v>8024.2718446601939</v>
      </c>
      <c r="T117" s="16">
        <f t="shared" si="107"/>
        <v>15581.11037798096</v>
      </c>
      <c r="U117" s="16">
        <f t="shared" si="107"/>
        <v>22690.937443661591</v>
      </c>
      <c r="V117" s="16">
        <f t="shared" si="107"/>
        <v>29373.381804092678</v>
      </c>
      <c r="W117" s="16">
        <f t="shared" si="107"/>
        <v>50695.518258257325</v>
      </c>
      <c r="X117" s="16" t="str">
        <f t="shared" si="107"/>
        <v/>
      </c>
      <c r="Y117" s="16" t="str">
        <f t="shared" si="107"/>
        <v/>
      </c>
      <c r="Z117" s="16" t="str">
        <f t="shared" si="107"/>
        <v/>
      </c>
      <c r="AA117" s="16" t="str">
        <f t="shared" si="107"/>
        <v/>
      </c>
      <c r="AB117" s="16" t="str">
        <f t="shared" si="107"/>
        <v/>
      </c>
      <c r="AC117" s="16" t="str">
        <f t="shared" si="107"/>
        <v/>
      </c>
      <c r="AD117" s="16" t="str">
        <f t="shared" si="107"/>
        <v/>
      </c>
    </row>
    <row r="118" spans="3:30" x14ac:dyDescent="0.2">
      <c r="C118" t="s">
        <v>485</v>
      </c>
      <c r="D118" s="233" t="str">
        <f>+IFERROR(D113*$S$90/12/(1-(D116^((1/3)))),"n.a.")</f>
        <v>n.a.</v>
      </c>
      <c r="E118" s="233">
        <f>+IFERROR(E113*$S$90/12/(1-(E116^((1/3)))),"n.a.")</f>
        <v>949550.88059355551</v>
      </c>
      <c r="F118" s="233">
        <f>+IFERROR(F113*$S$90/12/(1-(F116^((1/3)))),"n.a.")</f>
        <v>30456.607281843088</v>
      </c>
      <c r="G118" s="233">
        <f>+IFERROR(G113*$S$90/12/(1-(G116^((1/3)))),"n.a.")</f>
        <v>25638.817378594835</v>
      </c>
      <c r="H118" s="243"/>
      <c r="I118" s="243"/>
      <c r="J118" s="243"/>
      <c r="R118" s="6">
        <f t="shared" si="100"/>
        <v>44834</v>
      </c>
      <c r="S118" s="16">
        <f t="shared" ref="S118:AD118" si="108">IFERROR(S101/(1+$S$107)^S$109,"")</f>
        <v>7500</v>
      </c>
      <c r="T118" s="16">
        <f t="shared" si="108"/>
        <v>14563.106796116506</v>
      </c>
      <c r="U118" s="16">
        <f t="shared" si="108"/>
        <v>21208.407955509472</v>
      </c>
      <c r="V118" s="16">
        <f t="shared" si="108"/>
        <v>27454.24978059479</v>
      </c>
      <c r="W118" s="16" t="str">
        <f t="shared" si="108"/>
        <v/>
      </c>
      <c r="X118" s="16" t="str">
        <f t="shared" si="108"/>
        <v/>
      </c>
      <c r="Y118" s="16" t="str">
        <f t="shared" si="108"/>
        <v/>
      </c>
      <c r="Z118" s="16" t="str">
        <f t="shared" si="108"/>
        <v/>
      </c>
      <c r="AA118" s="16" t="str">
        <f t="shared" si="108"/>
        <v/>
      </c>
      <c r="AB118" s="16" t="str">
        <f t="shared" si="108"/>
        <v/>
      </c>
      <c r="AC118" s="16" t="str">
        <f t="shared" si="108"/>
        <v/>
      </c>
      <c r="AD118" s="16" t="str">
        <f t="shared" si="108"/>
        <v/>
      </c>
    </row>
    <row r="119" spans="3:30" x14ac:dyDescent="0.2">
      <c r="C119" t="s">
        <v>1931</v>
      </c>
      <c r="D119" s="242" t="str">
        <f>IFERROR((D113/12)*((1-((D116^((1/3))))^36)/(1-((D116^((1/3)))))),"n.a.")</f>
        <v>n.a.</v>
      </c>
      <c r="E119" s="234">
        <f>IFERROR((E113/12)*((1-((E116^((1/3))))^36)/(1-((E116^((1/3)))))),"n.a.")</f>
        <v>50822.169422999454</v>
      </c>
      <c r="F119" s="234">
        <f>IFERROR((F113/12)*((1-((F116^((1/3))))^36)/(1-((F116^((1/3)))))),"n.a.")</f>
        <v>28485.77639329162</v>
      </c>
      <c r="G119" s="234">
        <f>IFERROR((G113/12)*((1-((G116^((1/3))))^36)/(1-((G116^((1/3)))))),"n.a.")</f>
        <v>26574.007509898704</v>
      </c>
      <c r="H119" s="246" t="s">
        <v>1934</v>
      </c>
      <c r="I119" s="247"/>
      <c r="R119" s="6">
        <f t="shared" si="100"/>
        <v>44865</v>
      </c>
      <c r="S119" s="16">
        <f t="shared" ref="S119:AD119" si="109">IFERROR(S102/(1+$S$107)^S$109,"")</f>
        <v>10911.407766990291</v>
      </c>
      <c r="T119" s="16">
        <f t="shared" si="109"/>
        <v>21187.199547553966</v>
      </c>
      <c r="U119" s="16">
        <f t="shared" si="109"/>
        <v>53371.061573476269</v>
      </c>
      <c r="V119" s="16" t="str">
        <f t="shared" si="109"/>
        <v/>
      </c>
      <c r="W119" s="16" t="str">
        <f t="shared" si="109"/>
        <v/>
      </c>
      <c r="X119" s="16" t="str">
        <f t="shared" si="109"/>
        <v/>
      </c>
      <c r="Y119" s="16" t="str">
        <f t="shared" si="109"/>
        <v/>
      </c>
      <c r="Z119" s="16" t="str">
        <f t="shared" si="109"/>
        <v/>
      </c>
      <c r="AA119" s="16" t="str">
        <f t="shared" si="109"/>
        <v/>
      </c>
      <c r="AB119" s="16" t="str">
        <f t="shared" si="109"/>
        <v/>
      </c>
      <c r="AC119" s="16" t="str">
        <f t="shared" si="109"/>
        <v/>
      </c>
      <c r="AD119" s="16" t="str">
        <f t="shared" si="109"/>
        <v/>
      </c>
    </row>
    <row r="120" spans="3:30" x14ac:dyDescent="0.2">
      <c r="C120" t="s">
        <v>451</v>
      </c>
      <c r="D120" s="234">
        <f>-D126/D112</f>
        <v>10000</v>
      </c>
      <c r="E120" s="235">
        <f>-E126/E112</f>
        <v>40000</v>
      </c>
      <c r="F120" s="235">
        <f>-F126/F112</f>
        <v>28571.428571428572</v>
      </c>
      <c r="G120" s="235">
        <f>-G126/G112</f>
        <v>33333.333333333336</v>
      </c>
      <c r="R120" s="6">
        <f t="shared" si="100"/>
        <v>44895</v>
      </c>
      <c r="S120" s="16">
        <f t="shared" ref="S120:AD120" si="110">IFERROR(S103/(1+$S$107)^S$109,"")</f>
        <v>9521.3592233009713</v>
      </c>
      <c r="T120" s="16">
        <f t="shared" si="110"/>
        <v>18488.076161749457</v>
      </c>
      <c r="U120" s="16" t="str">
        <f t="shared" si="110"/>
        <v/>
      </c>
      <c r="V120" s="16" t="str">
        <f t="shared" si="110"/>
        <v/>
      </c>
      <c r="W120" s="16" t="str">
        <f t="shared" si="110"/>
        <v/>
      </c>
      <c r="X120" s="16" t="str">
        <f t="shared" si="110"/>
        <v/>
      </c>
      <c r="Y120" s="16" t="str">
        <f t="shared" si="110"/>
        <v/>
      </c>
      <c r="Z120" s="16" t="str">
        <f t="shared" si="110"/>
        <v/>
      </c>
      <c r="AA120" s="16" t="str">
        <f t="shared" si="110"/>
        <v/>
      </c>
      <c r="AB120" s="16" t="str">
        <f t="shared" si="110"/>
        <v/>
      </c>
      <c r="AC120" s="16" t="str">
        <f t="shared" si="110"/>
        <v/>
      </c>
      <c r="AD120" s="16" t="str">
        <f t="shared" si="110"/>
        <v/>
      </c>
    </row>
    <row r="121" spans="3:30" ht="16" thickBot="1" x14ac:dyDescent="0.25">
      <c r="C121" t="s">
        <v>1932</v>
      </c>
      <c r="D121" s="234" t="str">
        <f>IFERROR(D118/D120,"n.a.")</f>
        <v>n.a.</v>
      </c>
      <c r="E121" s="236">
        <f>IFERROR(E119/E120,"n.a.")</f>
        <v>1.2705542355749864</v>
      </c>
      <c r="F121" s="236">
        <f>IFERROR(F119/F120,"n.a.")</f>
        <v>0.99700217376520672</v>
      </c>
      <c r="G121" s="236">
        <f>IFERROR(G119/G120,"n.a.")</f>
        <v>0.79722022529696102</v>
      </c>
      <c r="R121" s="7">
        <f t="shared" si="100"/>
        <v>44926</v>
      </c>
      <c r="S121" s="16">
        <f t="shared" ref="S121:AD121" si="111">IFERROR(S104/(1+$S$107)^S$109,"")</f>
        <v>8217.961165048544</v>
      </c>
      <c r="T121" s="16" t="str">
        <f t="shared" si="111"/>
        <v/>
      </c>
      <c r="U121" s="16" t="str">
        <f t="shared" si="111"/>
        <v/>
      </c>
      <c r="V121" s="16" t="str">
        <f t="shared" si="111"/>
        <v/>
      </c>
      <c r="W121" s="16" t="str">
        <f t="shared" si="111"/>
        <v/>
      </c>
      <c r="X121" s="16" t="str">
        <f t="shared" si="111"/>
        <v/>
      </c>
      <c r="Y121" s="16" t="str">
        <f t="shared" si="111"/>
        <v/>
      </c>
      <c r="Z121" s="16" t="str">
        <f t="shared" si="111"/>
        <v/>
      </c>
      <c r="AA121" s="16" t="str">
        <f t="shared" si="111"/>
        <v/>
      </c>
      <c r="AB121" s="16" t="str">
        <f t="shared" si="111"/>
        <v/>
      </c>
      <c r="AC121" s="16" t="str">
        <f t="shared" si="111"/>
        <v/>
      </c>
      <c r="AD121" s="16" t="str">
        <f t="shared" si="111"/>
        <v/>
      </c>
    </row>
    <row r="122" spans="3:30" x14ac:dyDescent="0.2">
      <c r="C122" t="s">
        <v>1930</v>
      </c>
      <c r="D122" s="237">
        <f>IFERROR((D120/(D113*$S$90/12)),"n.a.")</f>
        <v>7.436326454731363</v>
      </c>
      <c r="E122" s="237">
        <f>IFERROR((E120/(E113*$S$90/12)),"n.a.")</f>
        <v>37.036424662290635</v>
      </c>
      <c r="F122" s="237">
        <f>IFERROR((F120/(F113*$S$90/12)),"n.a.")</f>
        <v>28.408082099357269</v>
      </c>
      <c r="G122" s="237">
        <f>IFERROR((G120/(G113*$S$90/12)),"n.a.")</f>
        <v>31.811894882434302</v>
      </c>
    </row>
    <row r="123" spans="3:30" ht="16" thickBot="1" x14ac:dyDescent="0.25">
      <c r="C123" t="s">
        <v>487</v>
      </c>
      <c r="D123" s="238"/>
      <c r="E123" s="239">
        <f>(E109-D109)/-D126</f>
        <v>0.48280000000000001</v>
      </c>
      <c r="F123" s="239">
        <f>(F109-E109)/-E126</f>
        <v>0.23866000000000001</v>
      </c>
      <c r="G123" s="239">
        <f>(G109-F109)/-F126</f>
        <v>0.47971999999999998</v>
      </c>
    </row>
    <row r="124" spans="3:30" ht="16" thickBot="1" x14ac:dyDescent="0.25">
      <c r="R124" s="19" t="s">
        <v>451</v>
      </c>
      <c r="S124" s="21">
        <v>20000</v>
      </c>
    </row>
    <row r="125" spans="3:30" ht="16" thickBot="1" x14ac:dyDescent="0.25">
      <c r="S125" s="12" t="s">
        <v>447</v>
      </c>
      <c r="T125" s="12"/>
      <c r="U125" s="12"/>
      <c r="V125" s="12"/>
      <c r="W125" s="12"/>
      <c r="X125" s="12"/>
      <c r="Y125" s="12"/>
      <c r="Z125" s="12"/>
      <c r="AA125" s="12"/>
      <c r="AB125" s="12"/>
      <c r="AC125" s="12"/>
      <c r="AD125" s="12"/>
    </row>
    <row r="126" spans="3:30" ht="16" thickBot="1" x14ac:dyDescent="0.25">
      <c r="C126" s="19" t="s">
        <v>1929</v>
      </c>
      <c r="D126" s="240">
        <v>-100000</v>
      </c>
      <c r="E126" s="240">
        <v>-200000</v>
      </c>
      <c r="F126" s="240">
        <v>-200000</v>
      </c>
      <c r="G126" s="21">
        <v>-300000</v>
      </c>
      <c r="R126" s="26" t="s">
        <v>571</v>
      </c>
      <c r="S126" s="9">
        <v>1</v>
      </c>
      <c r="T126" s="4">
        <f t="shared" ref="T126:AD126" si="112">S126+1</f>
        <v>2</v>
      </c>
      <c r="U126" s="4">
        <f t="shared" si="112"/>
        <v>3</v>
      </c>
      <c r="V126" s="4">
        <f t="shared" si="112"/>
        <v>4</v>
      </c>
      <c r="W126" s="4">
        <f t="shared" si="112"/>
        <v>5</v>
      </c>
      <c r="X126" s="4">
        <f t="shared" si="112"/>
        <v>6</v>
      </c>
      <c r="Y126" s="4">
        <f t="shared" si="112"/>
        <v>7</v>
      </c>
      <c r="Z126" s="4">
        <f t="shared" si="112"/>
        <v>8</v>
      </c>
      <c r="AA126" s="4">
        <f t="shared" si="112"/>
        <v>9</v>
      </c>
      <c r="AB126" s="4">
        <f t="shared" si="112"/>
        <v>10</v>
      </c>
      <c r="AC126" s="4">
        <f t="shared" si="112"/>
        <v>11</v>
      </c>
      <c r="AD126" s="10">
        <f t="shared" si="112"/>
        <v>12</v>
      </c>
    </row>
    <row r="127" spans="3:30" x14ac:dyDescent="0.2">
      <c r="R127" s="5">
        <v>44592</v>
      </c>
      <c r="S127" s="24">
        <f t="shared" ref="S127:AD127" si="113">IFERROR(S93/$S$124,"")</f>
        <v>1.3620000000000001</v>
      </c>
      <c r="T127" s="24">
        <f t="shared" si="113"/>
        <v>3.9060000000000001</v>
      </c>
      <c r="U127" s="24">
        <f t="shared" si="113"/>
        <v>5.7690000000000001</v>
      </c>
      <c r="V127" s="24">
        <f t="shared" si="113"/>
        <v>7.6319999999999997</v>
      </c>
      <c r="W127" s="24">
        <f t="shared" si="113"/>
        <v>9.4949999999999992</v>
      </c>
      <c r="X127" s="24">
        <f t="shared" si="113"/>
        <v>11.358000000000001</v>
      </c>
      <c r="Y127" s="24">
        <f t="shared" si="113"/>
        <v>13.221</v>
      </c>
      <c r="Z127" s="24">
        <f t="shared" si="113"/>
        <v>15.084</v>
      </c>
      <c r="AA127" s="24">
        <f t="shared" si="113"/>
        <v>16.946999999999999</v>
      </c>
      <c r="AB127" s="24">
        <f t="shared" si="113"/>
        <v>18.809999999999999</v>
      </c>
      <c r="AC127" s="24">
        <f t="shared" si="113"/>
        <v>20.672999999999998</v>
      </c>
      <c r="AD127" s="24">
        <f t="shared" si="113"/>
        <v>22.536000000000001</v>
      </c>
    </row>
    <row r="128" spans="3:30" x14ac:dyDescent="0.2">
      <c r="R128" s="6">
        <f t="shared" ref="R128:R138" si="114">EOMONTH(R127,1)</f>
        <v>44620</v>
      </c>
      <c r="S128" s="24">
        <f t="shared" ref="S128:AD128" si="115">IFERROR(S94/$S$124,"")</f>
        <v>0.33434999999999998</v>
      </c>
      <c r="T128" s="24">
        <f t="shared" si="115"/>
        <v>0.67020000000000002</v>
      </c>
      <c r="U128" s="24">
        <f t="shared" si="115"/>
        <v>0.99780000000000002</v>
      </c>
      <c r="V128" s="24">
        <f t="shared" si="115"/>
        <v>1.3321499999999999</v>
      </c>
      <c r="W128" s="24">
        <f t="shared" si="115"/>
        <v>1.67625</v>
      </c>
      <c r="X128" s="24">
        <f t="shared" si="115"/>
        <v>2.0203500000000001</v>
      </c>
      <c r="Y128" s="24">
        <f t="shared" si="115"/>
        <v>3.3385500000000001</v>
      </c>
      <c r="Z128" s="24">
        <f t="shared" si="115"/>
        <v>7.0523999999999996</v>
      </c>
      <c r="AA128" s="24">
        <f t="shared" si="115"/>
        <v>7.4276999999999997</v>
      </c>
      <c r="AB128" s="24">
        <f t="shared" si="115"/>
        <v>7.8029999999999999</v>
      </c>
      <c r="AC128" s="24">
        <f t="shared" si="115"/>
        <v>8.1783000000000001</v>
      </c>
      <c r="AD128" s="24" t="str">
        <f t="shared" si="115"/>
        <v/>
      </c>
    </row>
    <row r="129" spans="10:30" x14ac:dyDescent="0.2">
      <c r="K129" s="222"/>
      <c r="L129" s="222"/>
      <c r="R129" s="6">
        <f t="shared" si="114"/>
        <v>44651</v>
      </c>
      <c r="S129" s="24">
        <f t="shared" ref="S129:AD129" si="116">IFERROR(S95/$S$124,"")</f>
        <v>0.63202499999999995</v>
      </c>
      <c r="T129" s="24">
        <f t="shared" si="116"/>
        <v>1.27125</v>
      </c>
      <c r="U129" s="24">
        <f t="shared" si="116"/>
        <v>1.917675</v>
      </c>
      <c r="V129" s="24">
        <f t="shared" si="116"/>
        <v>2.5726499999999999</v>
      </c>
      <c r="W129" s="24">
        <f t="shared" si="116"/>
        <v>3.2321249999999999</v>
      </c>
      <c r="X129" s="24">
        <f t="shared" si="116"/>
        <v>3.8871000000000002</v>
      </c>
      <c r="Y129" s="24">
        <f t="shared" si="116"/>
        <v>4.5677250000000003</v>
      </c>
      <c r="Z129" s="24">
        <f t="shared" si="116"/>
        <v>5.2996499999999997</v>
      </c>
      <c r="AA129" s="24">
        <f t="shared" si="116"/>
        <v>6.0967124999999998</v>
      </c>
      <c r="AB129" s="24">
        <f t="shared" si="116"/>
        <v>6.8937749999999998</v>
      </c>
      <c r="AC129" s="24" t="str">
        <f t="shared" si="116"/>
        <v/>
      </c>
      <c r="AD129" s="24" t="str">
        <f t="shared" si="116"/>
        <v/>
      </c>
    </row>
    <row r="130" spans="10:30" x14ac:dyDescent="0.2">
      <c r="K130" s="220"/>
      <c r="L130" s="219"/>
      <c r="M130" s="218"/>
      <c r="R130" s="6">
        <f t="shared" si="114"/>
        <v>44681</v>
      </c>
      <c r="S130" s="24">
        <f t="shared" ref="S130:AD130" si="117">IFERROR(S96/$S$124,"")</f>
        <v>0.19095000000000001</v>
      </c>
      <c r="T130" s="24">
        <f t="shared" si="117"/>
        <v>0.38190000000000002</v>
      </c>
      <c r="U130" s="24">
        <f t="shared" si="117"/>
        <v>0.57284999999999997</v>
      </c>
      <c r="V130" s="24">
        <f t="shared" si="117"/>
        <v>0.76380000000000003</v>
      </c>
      <c r="W130" s="24">
        <f t="shared" si="117"/>
        <v>0.95474999999999999</v>
      </c>
      <c r="X130" s="24">
        <f t="shared" si="117"/>
        <v>2.097</v>
      </c>
      <c r="Y130" s="24">
        <f t="shared" si="117"/>
        <v>2.2845</v>
      </c>
      <c r="Z130" s="24">
        <f t="shared" si="117"/>
        <v>2.472</v>
      </c>
      <c r="AA130" s="24">
        <f t="shared" si="117"/>
        <v>2.6595</v>
      </c>
      <c r="AB130" s="24" t="str">
        <f t="shared" si="117"/>
        <v/>
      </c>
      <c r="AC130" s="24" t="str">
        <f t="shared" si="117"/>
        <v/>
      </c>
      <c r="AD130" s="24" t="str">
        <f t="shared" si="117"/>
        <v/>
      </c>
    </row>
    <row r="131" spans="10:30" x14ac:dyDescent="0.2">
      <c r="K131" s="223"/>
      <c r="L131" s="219"/>
      <c r="R131" s="6">
        <f t="shared" si="114"/>
        <v>44712</v>
      </c>
      <c r="S131" s="24">
        <f t="shared" ref="S131:AD131" si="118">IFERROR(S97/$S$124,"")</f>
        <v>0.56227499999999997</v>
      </c>
      <c r="T131" s="24">
        <f t="shared" si="118"/>
        <v>1.1245499999999999</v>
      </c>
      <c r="U131" s="24">
        <f t="shared" si="118"/>
        <v>1.686825</v>
      </c>
      <c r="V131" s="24">
        <f t="shared" si="118"/>
        <v>2.2490999999999999</v>
      </c>
      <c r="W131" s="24">
        <f t="shared" si="118"/>
        <v>2.811375</v>
      </c>
      <c r="X131" s="24">
        <f t="shared" si="118"/>
        <v>3.37365</v>
      </c>
      <c r="Y131" s="24">
        <f t="shared" si="118"/>
        <v>3.9359250000000001</v>
      </c>
      <c r="Z131" s="24">
        <f t="shared" si="118"/>
        <v>8.8056000000000001</v>
      </c>
      <c r="AA131" s="24" t="str">
        <f t="shared" si="118"/>
        <v/>
      </c>
      <c r="AB131" s="24" t="str">
        <f t="shared" si="118"/>
        <v/>
      </c>
      <c r="AC131" s="24" t="str">
        <f t="shared" si="118"/>
        <v/>
      </c>
      <c r="AD131" s="24" t="str">
        <f t="shared" si="118"/>
        <v/>
      </c>
    </row>
    <row r="132" spans="10:30" x14ac:dyDescent="0.2">
      <c r="K132" s="2"/>
      <c r="L132" s="2"/>
      <c r="R132" s="6">
        <f t="shared" si="114"/>
        <v>44742</v>
      </c>
      <c r="S132" s="24">
        <f t="shared" ref="S132:AD132" si="119">IFERROR(S98/$S$124,"")</f>
        <v>0.1875</v>
      </c>
      <c r="T132" s="24">
        <f t="shared" si="119"/>
        <v>0.375</v>
      </c>
      <c r="U132" s="24">
        <f t="shared" si="119"/>
        <v>0.5625</v>
      </c>
      <c r="V132" s="24">
        <f t="shared" si="119"/>
        <v>0.75</v>
      </c>
      <c r="W132" s="24">
        <f t="shared" si="119"/>
        <v>0.9375</v>
      </c>
      <c r="X132" s="24">
        <f t="shared" si="119"/>
        <v>1.125</v>
      </c>
      <c r="Y132" s="24" t="str">
        <f t="shared" si="119"/>
        <v/>
      </c>
      <c r="Z132" s="24" t="str">
        <f t="shared" si="119"/>
        <v/>
      </c>
      <c r="AA132" s="24" t="str">
        <f t="shared" si="119"/>
        <v/>
      </c>
      <c r="AB132" s="24" t="str">
        <f t="shared" si="119"/>
        <v/>
      </c>
      <c r="AC132" s="24" t="str">
        <f t="shared" si="119"/>
        <v/>
      </c>
      <c r="AD132" s="24" t="str">
        <f t="shared" si="119"/>
        <v/>
      </c>
    </row>
    <row r="133" spans="10:30" x14ac:dyDescent="0.2">
      <c r="N133" s="218"/>
      <c r="R133" s="6">
        <f t="shared" si="114"/>
        <v>44773</v>
      </c>
      <c r="S133" s="24">
        <f t="shared" ref="S133:AD133" si="120">IFERROR(S99/$S$124,"")</f>
        <v>0.26324999999999998</v>
      </c>
      <c r="T133" s="24">
        <f t="shared" si="120"/>
        <v>0.52649999999999997</v>
      </c>
      <c r="U133" s="24">
        <f t="shared" si="120"/>
        <v>0.78974999999999995</v>
      </c>
      <c r="V133" s="24">
        <f t="shared" si="120"/>
        <v>1.0529999999999999</v>
      </c>
      <c r="W133" s="24">
        <f t="shared" si="120"/>
        <v>1.3162499999999999</v>
      </c>
      <c r="X133" s="24">
        <f t="shared" si="120"/>
        <v>1.5794999999999999</v>
      </c>
      <c r="Y133" s="24" t="str">
        <f t="shared" si="120"/>
        <v/>
      </c>
      <c r="Z133" s="24" t="str">
        <f t="shared" si="120"/>
        <v/>
      </c>
      <c r="AA133" s="24" t="str">
        <f t="shared" si="120"/>
        <v/>
      </c>
      <c r="AB133" s="24" t="str">
        <f t="shared" si="120"/>
        <v/>
      </c>
      <c r="AC133" s="24" t="str">
        <f t="shared" si="120"/>
        <v/>
      </c>
      <c r="AD133" s="24" t="str">
        <f t="shared" si="120"/>
        <v/>
      </c>
    </row>
    <row r="134" spans="10:30" x14ac:dyDescent="0.2">
      <c r="K134" s="206"/>
      <c r="L134" s="206"/>
      <c r="O134" s="216"/>
      <c r="R134" s="6">
        <f t="shared" si="114"/>
        <v>44804</v>
      </c>
      <c r="S134" s="24">
        <f t="shared" ref="S134:AD134" si="121">IFERROR(S100/$S$124,"")</f>
        <v>0.41325000000000001</v>
      </c>
      <c r="T134" s="24">
        <f t="shared" si="121"/>
        <v>0.82650000000000001</v>
      </c>
      <c r="U134" s="24">
        <f t="shared" si="121"/>
        <v>1.2397499999999999</v>
      </c>
      <c r="V134" s="24">
        <f t="shared" si="121"/>
        <v>1.653</v>
      </c>
      <c r="W134" s="24">
        <f t="shared" si="121"/>
        <v>2.9384999999999999</v>
      </c>
      <c r="X134" s="24" t="str">
        <f t="shared" si="121"/>
        <v/>
      </c>
      <c r="Y134" s="24" t="str">
        <f t="shared" si="121"/>
        <v/>
      </c>
      <c r="Z134" s="24" t="str">
        <f t="shared" si="121"/>
        <v/>
      </c>
      <c r="AA134" s="24" t="str">
        <f t="shared" si="121"/>
        <v/>
      </c>
      <c r="AB134" s="24" t="str">
        <f t="shared" si="121"/>
        <v/>
      </c>
      <c r="AC134" s="24" t="str">
        <f t="shared" si="121"/>
        <v/>
      </c>
      <c r="AD134" s="24" t="str">
        <f t="shared" si="121"/>
        <v/>
      </c>
    </row>
    <row r="135" spans="10:30" x14ac:dyDescent="0.2">
      <c r="J135" s="216"/>
      <c r="K135" s="216"/>
      <c r="R135" s="6">
        <f t="shared" si="114"/>
        <v>44834</v>
      </c>
      <c r="S135" s="24">
        <f t="shared" ref="S135:AD135" si="122">IFERROR(S101/$S$124,"")</f>
        <v>0.38624999999999998</v>
      </c>
      <c r="T135" s="24">
        <f t="shared" si="122"/>
        <v>0.77249999999999996</v>
      </c>
      <c r="U135" s="24">
        <f t="shared" si="122"/>
        <v>1.1587499999999999</v>
      </c>
      <c r="V135" s="24">
        <f t="shared" si="122"/>
        <v>1.5449999999999999</v>
      </c>
      <c r="W135" s="24" t="str">
        <f t="shared" si="122"/>
        <v/>
      </c>
      <c r="X135" s="24" t="str">
        <f t="shared" si="122"/>
        <v/>
      </c>
      <c r="Y135" s="24" t="str">
        <f t="shared" si="122"/>
        <v/>
      </c>
      <c r="Z135" s="24" t="str">
        <f t="shared" si="122"/>
        <v/>
      </c>
      <c r="AA135" s="24" t="str">
        <f t="shared" si="122"/>
        <v/>
      </c>
      <c r="AB135" s="24" t="str">
        <f t="shared" si="122"/>
        <v/>
      </c>
      <c r="AC135" s="24" t="str">
        <f t="shared" si="122"/>
        <v/>
      </c>
      <c r="AD135" s="24" t="str">
        <f t="shared" si="122"/>
        <v/>
      </c>
    </row>
    <row r="136" spans="10:30" x14ac:dyDescent="0.2">
      <c r="K136" s="224"/>
      <c r="R136" s="6">
        <f t="shared" si="114"/>
        <v>44865</v>
      </c>
      <c r="S136" s="24">
        <f t="shared" ref="S136:AD136" si="123">IFERROR(S102/$S$124,"")</f>
        <v>0.56193749999999998</v>
      </c>
      <c r="T136" s="24">
        <f t="shared" si="123"/>
        <v>1.123875</v>
      </c>
      <c r="U136" s="24">
        <f t="shared" si="123"/>
        <v>2.9159999999999999</v>
      </c>
      <c r="V136" s="24" t="str">
        <f t="shared" si="123"/>
        <v/>
      </c>
      <c r="W136" s="24" t="str">
        <f t="shared" si="123"/>
        <v/>
      </c>
      <c r="X136" s="24" t="str">
        <f t="shared" si="123"/>
        <v/>
      </c>
      <c r="Y136" s="24" t="str">
        <f t="shared" si="123"/>
        <v/>
      </c>
      <c r="Z136" s="24" t="str">
        <f t="shared" si="123"/>
        <v/>
      </c>
      <c r="AA136" s="24" t="str">
        <f t="shared" si="123"/>
        <v/>
      </c>
      <c r="AB136" s="24" t="str">
        <f t="shared" si="123"/>
        <v/>
      </c>
      <c r="AC136" s="24" t="str">
        <f t="shared" si="123"/>
        <v/>
      </c>
      <c r="AD136" s="24" t="str">
        <f t="shared" si="123"/>
        <v/>
      </c>
    </row>
    <row r="137" spans="10:30" x14ac:dyDescent="0.2">
      <c r="K137" s="216"/>
      <c r="R137" s="6">
        <f t="shared" si="114"/>
        <v>44895</v>
      </c>
      <c r="S137" s="24">
        <f t="shared" ref="S137:AD137" si="124">IFERROR(S103/$S$124,"")</f>
        <v>0.49035000000000001</v>
      </c>
      <c r="T137" s="24">
        <f t="shared" si="124"/>
        <v>0.98070000000000002</v>
      </c>
      <c r="U137" s="24" t="str">
        <f t="shared" si="124"/>
        <v/>
      </c>
      <c r="V137" s="24" t="str">
        <f t="shared" si="124"/>
        <v/>
      </c>
      <c r="W137" s="24" t="str">
        <f t="shared" si="124"/>
        <v/>
      </c>
      <c r="X137" s="24" t="str">
        <f t="shared" si="124"/>
        <v/>
      </c>
      <c r="Y137" s="24" t="str">
        <f t="shared" si="124"/>
        <v/>
      </c>
      <c r="Z137" s="24" t="str">
        <f t="shared" si="124"/>
        <v/>
      </c>
      <c r="AA137" s="24" t="str">
        <f t="shared" si="124"/>
        <v/>
      </c>
      <c r="AB137" s="24" t="str">
        <f t="shared" si="124"/>
        <v/>
      </c>
      <c r="AC137" s="24" t="str">
        <f t="shared" si="124"/>
        <v/>
      </c>
      <c r="AD137" s="24" t="str">
        <f t="shared" si="124"/>
        <v/>
      </c>
    </row>
    <row r="138" spans="10:30" ht="16" thickBot="1" x14ac:dyDescent="0.25">
      <c r="K138" s="220"/>
      <c r="L138" s="218"/>
      <c r="R138" s="7">
        <f t="shared" si="114"/>
        <v>44926</v>
      </c>
      <c r="S138" s="24">
        <f t="shared" ref="S138:AD138" si="125">IFERROR(S104/$S$124,"")</f>
        <v>0.42322500000000002</v>
      </c>
      <c r="T138" s="24" t="str">
        <f t="shared" si="125"/>
        <v/>
      </c>
      <c r="U138" s="24" t="str">
        <f t="shared" si="125"/>
        <v/>
      </c>
      <c r="V138" s="24" t="str">
        <f t="shared" si="125"/>
        <v/>
      </c>
      <c r="W138" s="24" t="str">
        <f t="shared" si="125"/>
        <v/>
      </c>
      <c r="X138" s="24" t="str">
        <f t="shared" si="125"/>
        <v/>
      </c>
      <c r="Y138" s="24" t="str">
        <f t="shared" si="125"/>
        <v/>
      </c>
      <c r="Z138" s="24" t="str">
        <f t="shared" si="125"/>
        <v/>
      </c>
      <c r="AA138" s="24" t="str">
        <f t="shared" si="125"/>
        <v/>
      </c>
      <c r="AB138" s="24" t="str">
        <f t="shared" si="125"/>
        <v/>
      </c>
      <c r="AC138" s="24" t="str">
        <f t="shared" si="125"/>
        <v/>
      </c>
      <c r="AD138" s="24" t="str">
        <f t="shared" si="125"/>
        <v/>
      </c>
    </row>
    <row r="139" spans="10:30" x14ac:dyDescent="0.2">
      <c r="K139" s="206"/>
      <c r="L139" s="206"/>
      <c r="R139" s="1"/>
      <c r="S139" s="25"/>
      <c r="T139" s="25"/>
      <c r="U139" s="25"/>
      <c r="V139" s="25"/>
      <c r="W139" s="25"/>
      <c r="X139" s="25"/>
      <c r="Y139" s="25"/>
      <c r="Z139" s="25"/>
      <c r="AA139" s="25"/>
      <c r="AB139" s="25"/>
      <c r="AC139" s="25"/>
      <c r="AD139" s="25"/>
    </row>
    <row r="140" spans="10:30" x14ac:dyDescent="0.2">
      <c r="K140" s="224"/>
    </row>
    <row r="142" spans="10:30" x14ac:dyDescent="0.2">
      <c r="K142" s="221"/>
    </row>
    <row r="145" spans="11:11" x14ac:dyDescent="0.2">
      <c r="K145" s="206"/>
    </row>
  </sheetData>
  <conditionalFormatting sqref="S41:AD52">
    <cfRule type="colorScale" priority="7">
      <colorScale>
        <cfvo type="min"/>
        <cfvo type="max"/>
        <color rgb="FFFFEF9C"/>
        <color rgb="FF63BE7B"/>
      </colorScale>
    </cfRule>
    <cfRule type="colorScale" priority="9">
      <colorScale>
        <cfvo type="min"/>
        <cfvo type="max"/>
        <color rgb="FF00B050"/>
        <color rgb="FFFF0000"/>
      </colorScale>
    </cfRule>
  </conditionalFormatting>
  <conditionalFormatting sqref="S58:AD69">
    <cfRule type="colorScale" priority="6">
      <colorScale>
        <cfvo type="min"/>
        <cfvo type="max"/>
        <color rgb="FFFFEF9C"/>
        <color rgb="FF63BE7B"/>
      </colorScale>
    </cfRule>
  </conditionalFormatting>
  <conditionalFormatting sqref="S127:AD138">
    <cfRule type="containsBlanks" priority="1" stopIfTrue="1">
      <formula>LEN(TRIM(S127))=0</formula>
    </cfRule>
    <cfRule type="cellIs" dxfId="0" priority="3" operator="greaterThan">
      <formula>1</formula>
    </cfRule>
  </conditionalFormatting>
  <conditionalFormatting sqref="T41:AD52">
    <cfRule type="colorScale" priority="11">
      <colorScale>
        <cfvo type="min"/>
        <cfvo type="max"/>
        <color rgb="FFFCFCFF"/>
        <color rgb="FF63BE7B"/>
      </colorScale>
    </cfRule>
  </conditionalFormatting>
  <conditionalFormatting sqref="T58:AD69">
    <cfRule type="colorScale" priority="10">
      <colorScale>
        <cfvo type="min"/>
        <cfvo type="max"/>
        <color rgb="FFFCFCFF"/>
        <color rgb="FF63BE7B"/>
      </colorScale>
    </cfRule>
  </conditionalFormatting>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CC29A-10EE-E840-BF8E-5E0D0B9F0FFD}">
  <dimension ref="F2:H17"/>
  <sheetViews>
    <sheetView workbookViewId="0">
      <selection activeCell="F17" sqref="F17"/>
    </sheetView>
  </sheetViews>
  <sheetFormatPr baseColWidth="10" defaultRowHeight="15" x14ac:dyDescent="0.2"/>
  <sheetData>
    <row r="2" spans="6:8" x14ac:dyDescent="0.2">
      <c r="F2">
        <f ca="1">RAND()</f>
        <v>0.3634075600001756</v>
      </c>
      <c r="G2">
        <f t="shared" ref="G2:H16" ca="1" si="0">RAND()</f>
        <v>0.25081378552663758</v>
      </c>
      <c r="H2">
        <f t="shared" ca="1" si="0"/>
        <v>0.72981551036275571</v>
      </c>
    </row>
    <row r="3" spans="6:8" x14ac:dyDescent="0.2">
      <c r="F3">
        <f t="shared" ref="F3:F16" ca="1" si="1">RAND()</f>
        <v>0.36943055852222229</v>
      </c>
      <c r="G3">
        <f t="shared" ca="1" si="0"/>
        <v>0.65297523730848539</v>
      </c>
      <c r="H3">
        <f t="shared" ca="1" si="0"/>
        <v>0.94608347059860942</v>
      </c>
    </row>
    <row r="4" spans="6:8" x14ac:dyDescent="0.2">
      <c r="F4">
        <f t="shared" ca="1" si="1"/>
        <v>0.47424246552767557</v>
      </c>
      <c r="G4">
        <f t="shared" ca="1" si="0"/>
        <v>0.92843598767672875</v>
      </c>
      <c r="H4">
        <f t="shared" ca="1" si="0"/>
        <v>0.58919587487688119</v>
      </c>
    </row>
    <row r="5" spans="6:8" x14ac:dyDescent="0.2">
      <c r="F5">
        <f t="shared" ca="1" si="1"/>
        <v>0.42732555389407589</v>
      </c>
      <c r="G5">
        <f t="shared" ca="1" si="0"/>
        <v>3.4948492485591398E-2</v>
      </c>
      <c r="H5">
        <f t="shared" ca="1" si="0"/>
        <v>0.15641408740688956</v>
      </c>
    </row>
    <row r="6" spans="6:8" x14ac:dyDescent="0.2">
      <c r="F6">
        <f t="shared" ca="1" si="1"/>
        <v>0.83928644396186902</v>
      </c>
      <c r="G6">
        <f t="shared" ca="1" si="0"/>
        <v>0.33136108329008984</v>
      </c>
      <c r="H6">
        <f t="shared" ca="1" si="0"/>
        <v>2.8553503259732049E-2</v>
      </c>
    </row>
    <row r="7" spans="6:8" x14ac:dyDescent="0.2">
      <c r="F7">
        <f t="shared" ca="1" si="1"/>
        <v>0.68060814868778863</v>
      </c>
      <c r="G7">
        <f t="shared" ca="1" si="0"/>
        <v>2.4271832891874401E-2</v>
      </c>
      <c r="H7">
        <f t="shared" ca="1" si="0"/>
        <v>0.90243707415448449</v>
      </c>
    </row>
    <row r="8" spans="6:8" x14ac:dyDescent="0.2">
      <c r="F8">
        <f t="shared" ca="1" si="1"/>
        <v>0.72664392296258074</v>
      </c>
      <c r="G8">
        <f t="shared" ca="1" si="0"/>
        <v>0.82395784538078909</v>
      </c>
      <c r="H8">
        <f t="shared" ca="1" si="0"/>
        <v>0.56005356397817818</v>
      </c>
    </row>
    <row r="9" spans="6:8" x14ac:dyDescent="0.2">
      <c r="F9">
        <f t="shared" ca="1" si="1"/>
        <v>0.24619635511201943</v>
      </c>
      <c r="G9">
        <f t="shared" ca="1" si="0"/>
        <v>0.23842904219594296</v>
      </c>
      <c r="H9">
        <f t="shared" ca="1" si="0"/>
        <v>0.88031714618033885</v>
      </c>
    </row>
    <row r="10" spans="6:8" x14ac:dyDescent="0.2">
      <c r="F10">
        <f t="shared" ca="1" si="1"/>
        <v>0.412522854692145</v>
      </c>
      <c r="G10">
        <f t="shared" ca="1" si="0"/>
        <v>0.46488228338830795</v>
      </c>
      <c r="H10">
        <f t="shared" ca="1" si="0"/>
        <v>0.96027221877349689</v>
      </c>
    </row>
    <row r="11" spans="6:8" x14ac:dyDescent="0.2">
      <c r="F11">
        <f t="shared" ca="1" si="1"/>
        <v>0.68588723385997852</v>
      </c>
      <c r="G11">
        <f t="shared" ca="1" si="0"/>
        <v>0.37128504265086038</v>
      </c>
      <c r="H11">
        <f t="shared" ca="1" si="0"/>
        <v>0.998818059698387</v>
      </c>
    </row>
    <row r="12" spans="6:8" x14ac:dyDescent="0.2">
      <c r="F12">
        <f t="shared" ca="1" si="1"/>
        <v>0.16175850473055298</v>
      </c>
      <c r="G12">
        <f t="shared" ca="1" si="0"/>
        <v>0.90847579428246317</v>
      </c>
      <c r="H12">
        <f t="shared" ca="1" si="0"/>
        <v>0.86370763842618636</v>
      </c>
    </row>
    <row r="13" spans="6:8" x14ac:dyDescent="0.2">
      <c r="F13">
        <f t="shared" ca="1" si="1"/>
        <v>0.50525534373109027</v>
      </c>
      <c r="G13">
        <f t="shared" ca="1" si="0"/>
        <v>0.38520249781049631</v>
      </c>
      <c r="H13">
        <f t="shared" ca="1" si="0"/>
        <v>1.063510295723713E-3</v>
      </c>
    </row>
    <row r="14" spans="6:8" x14ac:dyDescent="0.2">
      <c r="F14">
        <f t="shared" ca="1" si="1"/>
        <v>0.1134626517052173</v>
      </c>
      <c r="G14">
        <f t="shared" ca="1" si="0"/>
        <v>0.26660813125992766</v>
      </c>
      <c r="H14">
        <f t="shared" ca="1" si="0"/>
        <v>0.6088918543173385</v>
      </c>
    </row>
    <row r="15" spans="6:8" x14ac:dyDescent="0.2">
      <c r="F15">
        <f t="shared" ca="1" si="1"/>
        <v>0.9259203386064192</v>
      </c>
      <c r="G15">
        <f t="shared" ca="1" si="0"/>
        <v>0.53104000393136042</v>
      </c>
      <c r="H15">
        <f t="shared" ca="1" si="0"/>
        <v>0.33708766516488176</v>
      </c>
    </row>
    <row r="16" spans="6:8" x14ac:dyDescent="0.2">
      <c r="F16">
        <f t="shared" ca="1" si="1"/>
        <v>0.9790523142011972</v>
      </c>
      <c r="G16">
        <f t="shared" ca="1" si="0"/>
        <v>0.15439396856463217</v>
      </c>
      <c r="H16">
        <f t="shared" ca="1" si="0"/>
        <v>0.58612118163430538</v>
      </c>
    </row>
    <row r="17" spans="6:8" x14ac:dyDescent="0.2">
      <c r="F17">
        <f ca="1">SUM(F2:F16)</f>
        <v>7.9110002501950074</v>
      </c>
      <c r="G17">
        <f t="shared" ref="G17:H17" ca="1" si="2">SUM(G2:G16)</f>
        <v>6.3670810286441863</v>
      </c>
      <c r="H17">
        <f t="shared" ca="1" si="2"/>
        <v>9.1488323591281908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D8E90-7867-A143-B309-1A6C8706735E}">
  <dimension ref="E2:G17"/>
  <sheetViews>
    <sheetView workbookViewId="0">
      <selection activeCell="E18" sqref="E18"/>
    </sheetView>
  </sheetViews>
  <sheetFormatPr baseColWidth="10" defaultRowHeight="15" x14ac:dyDescent="0.2"/>
  <sheetData>
    <row r="2" spans="5:7" x14ac:dyDescent="0.2">
      <c r="E2">
        <f ca="1">RAND()</f>
        <v>0.9290889280166772</v>
      </c>
      <c r="F2">
        <f t="shared" ref="F2:G16" ca="1" si="0">RAND()</f>
        <v>0.93158586558121681</v>
      </c>
      <c r="G2">
        <f t="shared" ca="1" si="0"/>
        <v>0.97931922710117636</v>
      </c>
    </row>
    <row r="3" spans="5:7" x14ac:dyDescent="0.2">
      <c r="E3">
        <f t="shared" ref="E3:E16" ca="1" si="1">RAND()</f>
        <v>0.57805783701777336</v>
      </c>
      <c r="F3">
        <f t="shared" ca="1" si="0"/>
        <v>0.43645541534290833</v>
      </c>
      <c r="G3">
        <f t="shared" ca="1" si="0"/>
        <v>0.34825976725797403</v>
      </c>
    </row>
    <row r="4" spans="5:7" x14ac:dyDescent="0.2">
      <c r="E4">
        <f t="shared" ca="1" si="1"/>
        <v>1.4469302861636169E-2</v>
      </c>
      <c r="F4">
        <f t="shared" ca="1" si="0"/>
        <v>6.9787829108429289E-2</v>
      </c>
      <c r="G4">
        <f t="shared" ca="1" si="0"/>
        <v>0.37009538409299392</v>
      </c>
    </row>
    <row r="5" spans="5:7" x14ac:dyDescent="0.2">
      <c r="E5">
        <f t="shared" ca="1" si="1"/>
        <v>0.60235506395652361</v>
      </c>
      <c r="F5">
        <f t="shared" ca="1" si="0"/>
        <v>0.95696966002683093</v>
      </c>
      <c r="G5">
        <f t="shared" ca="1" si="0"/>
        <v>0.976948678620434</v>
      </c>
    </row>
    <row r="6" spans="5:7" x14ac:dyDescent="0.2">
      <c r="E6">
        <f t="shared" ca="1" si="1"/>
        <v>0.78692970564761455</v>
      </c>
      <c r="F6">
        <f t="shared" ca="1" si="0"/>
        <v>0.19899798188378748</v>
      </c>
      <c r="G6">
        <f t="shared" ca="1" si="0"/>
        <v>0.89154173616146248</v>
      </c>
    </row>
    <row r="7" spans="5:7" x14ac:dyDescent="0.2">
      <c r="E7">
        <f t="shared" ca="1" si="1"/>
        <v>0.62375990735860365</v>
      </c>
      <c r="F7">
        <f t="shared" ca="1" si="0"/>
        <v>0.41626714860086134</v>
      </c>
      <c r="G7">
        <f t="shared" ca="1" si="0"/>
        <v>0.58610620957060466</v>
      </c>
    </row>
    <row r="8" spans="5:7" x14ac:dyDescent="0.2">
      <c r="E8">
        <f t="shared" ca="1" si="1"/>
        <v>0.96346437020015596</v>
      </c>
      <c r="F8">
        <f t="shared" ca="1" si="0"/>
        <v>0.57460967361844639</v>
      </c>
      <c r="G8">
        <f t="shared" ca="1" si="0"/>
        <v>0.55562210418137636</v>
      </c>
    </row>
    <row r="9" spans="5:7" x14ac:dyDescent="0.2">
      <c r="E9">
        <f t="shared" ca="1" si="1"/>
        <v>0.22726834932737128</v>
      </c>
      <c r="F9">
        <f t="shared" ca="1" si="0"/>
        <v>0.58264430662664679</v>
      </c>
      <c r="G9">
        <f t="shared" ca="1" si="0"/>
        <v>2.4433706683195777E-2</v>
      </c>
    </row>
    <row r="10" spans="5:7" x14ac:dyDescent="0.2">
      <c r="E10">
        <f t="shared" ca="1" si="1"/>
        <v>0.3005735871408155</v>
      </c>
      <c r="F10">
        <f t="shared" ca="1" si="0"/>
        <v>0.69261287149778872</v>
      </c>
      <c r="G10">
        <f t="shared" ca="1" si="0"/>
        <v>0.22619395382388108</v>
      </c>
    </row>
    <row r="11" spans="5:7" x14ac:dyDescent="0.2">
      <c r="E11">
        <f t="shared" ca="1" si="1"/>
        <v>2.4161690989823015E-2</v>
      </c>
      <c r="F11">
        <f t="shared" ca="1" si="0"/>
        <v>0.84686059131072089</v>
      </c>
      <c r="G11">
        <f t="shared" ca="1" si="0"/>
        <v>7.0121619694422654E-2</v>
      </c>
    </row>
    <row r="12" spans="5:7" x14ac:dyDescent="0.2">
      <c r="E12">
        <f t="shared" ca="1" si="1"/>
        <v>0.49914901855797045</v>
      </c>
      <c r="F12">
        <f t="shared" ca="1" si="0"/>
        <v>0.55440694236403776</v>
      </c>
      <c r="G12">
        <f t="shared" ca="1" si="0"/>
        <v>0.40677988872988768</v>
      </c>
    </row>
    <row r="13" spans="5:7" x14ac:dyDescent="0.2">
      <c r="E13">
        <f t="shared" ca="1" si="1"/>
        <v>0.198958883491969</v>
      </c>
      <c r="F13">
        <f t="shared" ca="1" si="0"/>
        <v>0.82382375350176562</v>
      </c>
      <c r="G13">
        <f t="shared" ca="1" si="0"/>
        <v>5.4827453895571865E-2</v>
      </c>
    </row>
    <row r="14" spans="5:7" x14ac:dyDescent="0.2">
      <c r="E14">
        <f t="shared" ca="1" si="1"/>
        <v>0.5372150226141672</v>
      </c>
      <c r="F14">
        <f t="shared" ca="1" si="0"/>
        <v>0.62862407704303269</v>
      </c>
      <c r="G14">
        <f t="shared" ca="1" si="0"/>
        <v>0.92367540003725213</v>
      </c>
    </row>
    <row r="15" spans="5:7" x14ac:dyDescent="0.2">
      <c r="E15">
        <f t="shared" ca="1" si="1"/>
        <v>0.86685171334968603</v>
      </c>
      <c r="F15">
        <f t="shared" ca="1" si="0"/>
        <v>0.30027768011755196</v>
      </c>
      <c r="G15">
        <f t="shared" ca="1" si="0"/>
        <v>0.31903156272550282</v>
      </c>
    </row>
    <row r="16" spans="5:7" x14ac:dyDescent="0.2">
      <c r="E16">
        <f t="shared" ca="1" si="1"/>
        <v>0.86403166664048603</v>
      </c>
      <c r="F16">
        <f t="shared" ca="1" si="0"/>
        <v>0.80792997387582843</v>
      </c>
      <c r="G16">
        <f t="shared" ca="1" si="0"/>
        <v>0.73226401777537631</v>
      </c>
    </row>
    <row r="17" spans="5:5" x14ac:dyDescent="0.2">
      <c r="E17">
        <f ca="1">SUM(E2:E16)</f>
        <v>8.0163350471712729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Prompt</vt:lpstr>
      <vt:lpstr>is-bs-cfs</vt:lpstr>
      <vt:lpstr>Sheet2</vt:lpstr>
      <vt:lpstr>Sheet1</vt:lpstr>
      <vt:lpstr>executive summary</vt:lpstr>
      <vt:lpstr>ARR by customer</vt:lpstr>
      <vt:lpstr>Comps</vt:lpstr>
      <vt:lpstr>Primer</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Porras</dc:creator>
  <cp:lastModifiedBy>Jeremi Orlowski</cp:lastModifiedBy>
  <dcterms:created xsi:type="dcterms:W3CDTF">2022-11-23T12:08:18Z</dcterms:created>
  <dcterms:modified xsi:type="dcterms:W3CDTF">2026-01-05T13:59:53Z</dcterms:modified>
</cp:coreProperties>
</file>