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65\Archivador\ARCHIVO GENERAL\NORMAS\TABLAS DE EXPENSAS\"/>
    </mc:Choice>
  </mc:AlternateContent>
  <bookViews>
    <workbookView xWindow="0" yWindow="0" windowWidth="8445" windowHeight="4575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H49" i="1" l="1"/>
  <c r="I49" i="1"/>
  <c r="G49" i="1"/>
  <c r="F49" i="1"/>
  <c r="E49" i="1"/>
  <c r="D49" i="1"/>
  <c r="C49" i="1"/>
  <c r="B49" i="1"/>
  <c r="J34" i="1" l="1"/>
  <c r="J39" i="1"/>
  <c r="H44" i="1" l="1"/>
  <c r="C39" i="1" l="1"/>
  <c r="J10" i="1" l="1"/>
  <c r="I10" i="1"/>
  <c r="H10" i="1"/>
  <c r="G10" i="1"/>
  <c r="F10" i="1"/>
  <c r="E10" i="1"/>
  <c r="D10" i="1"/>
  <c r="C10" i="1"/>
  <c r="B10" i="1"/>
  <c r="H24" i="1" l="1"/>
  <c r="G24" i="1"/>
  <c r="F24" i="1"/>
  <c r="E24" i="1"/>
  <c r="D24" i="1"/>
  <c r="C24" i="1"/>
  <c r="B24" i="1"/>
  <c r="H29" i="1"/>
  <c r="G29" i="1"/>
  <c r="F29" i="1"/>
  <c r="E29" i="1"/>
  <c r="D29" i="1"/>
  <c r="C29" i="1"/>
  <c r="B29" i="1"/>
  <c r="C44" i="1"/>
  <c r="G34" i="1"/>
  <c r="F34" i="1"/>
  <c r="E34" i="1"/>
  <c r="D34" i="1"/>
  <c r="C34" i="1"/>
  <c r="B34" i="1"/>
  <c r="D44" i="1"/>
  <c r="E44" i="1"/>
  <c r="F39" i="1"/>
  <c r="E39" i="1"/>
  <c r="D39" i="1"/>
  <c r="B39" i="1"/>
  <c r="F44" i="1"/>
  <c r="F45" i="1" s="1"/>
  <c r="F46" i="1" s="1"/>
  <c r="G44" i="1"/>
  <c r="H45" i="1" s="1"/>
  <c r="H46" i="1" s="1"/>
  <c r="B44" i="1"/>
  <c r="B16" i="1" l="1"/>
  <c r="E16" i="1"/>
  <c r="D16" i="1" l="1"/>
  <c r="C16" i="1"/>
  <c r="F16" i="1"/>
  <c r="A45" i="1" l="1"/>
  <c r="A40" i="1"/>
  <c r="A35" i="1"/>
  <c r="A30" i="1"/>
  <c r="A25" i="1"/>
  <c r="A17" i="1"/>
  <c r="F40" i="1" l="1"/>
  <c r="E40" i="1"/>
  <c r="D40" i="1"/>
  <c r="C40" i="1"/>
  <c r="D45" i="1"/>
  <c r="E45" i="1"/>
  <c r="B45" i="1"/>
  <c r="B46" i="1" s="1"/>
  <c r="I50" i="1"/>
  <c r="H50" i="1"/>
  <c r="G50" i="1"/>
  <c r="F50" i="1"/>
  <c r="E50" i="1"/>
  <c r="D50" i="1"/>
  <c r="C50" i="1"/>
  <c r="B50" i="1"/>
  <c r="G45" i="1"/>
  <c r="B40" i="1"/>
  <c r="H30" i="1"/>
  <c r="G30" i="1"/>
  <c r="F30" i="1"/>
  <c r="E30" i="1"/>
  <c r="D30" i="1"/>
  <c r="C30" i="1"/>
  <c r="B30" i="1"/>
  <c r="H25" i="1"/>
  <c r="G25" i="1"/>
  <c r="F25" i="1"/>
  <c r="E25" i="1"/>
  <c r="D25" i="1"/>
  <c r="G35" i="1"/>
  <c r="B25" i="1"/>
  <c r="J11" i="1"/>
  <c r="I11" i="1"/>
  <c r="H11" i="1"/>
  <c r="G11" i="1"/>
  <c r="F11" i="1"/>
  <c r="E11" i="1"/>
  <c r="D11" i="1"/>
  <c r="C11" i="1"/>
  <c r="B11" i="1"/>
  <c r="E46" i="1" l="1"/>
  <c r="C17" i="1"/>
  <c r="C18" i="1" s="1"/>
  <c r="E17" i="1"/>
  <c r="E18" i="1" s="1"/>
  <c r="G16" i="1"/>
  <c r="G17" i="1" s="1"/>
  <c r="H16" i="1"/>
  <c r="I16" i="1"/>
  <c r="I17" i="1" s="1"/>
  <c r="J16" i="1"/>
  <c r="G36" i="1"/>
  <c r="C51" i="1"/>
  <c r="C52" i="1" s="1"/>
  <c r="E51" i="1"/>
  <c r="E52" i="1" s="1"/>
  <c r="G51" i="1"/>
  <c r="G52" i="1" s="1"/>
  <c r="I51" i="1"/>
  <c r="I52" i="1" s="1"/>
  <c r="B51" i="1"/>
  <c r="B52" i="1" s="1"/>
  <c r="D51" i="1"/>
  <c r="D52" i="1" s="1"/>
  <c r="F51" i="1"/>
  <c r="F52" i="1" s="1"/>
  <c r="H51" i="1"/>
  <c r="H52" i="1" s="1"/>
  <c r="C45" i="1"/>
  <c r="G46" i="1"/>
  <c r="D46" i="1"/>
  <c r="C25" i="1"/>
  <c r="F35" i="1"/>
  <c r="D12" i="1"/>
  <c r="H12" i="1"/>
  <c r="B12" i="1"/>
  <c r="F12" i="1"/>
  <c r="J12" i="1"/>
  <c r="B31" i="1"/>
  <c r="F31" i="1"/>
  <c r="D31" i="1"/>
  <c r="H31" i="1"/>
  <c r="D35" i="1"/>
  <c r="B41" i="1"/>
  <c r="F41" i="1"/>
  <c r="D41" i="1"/>
  <c r="C12" i="1"/>
  <c r="E12" i="1"/>
  <c r="G12" i="1"/>
  <c r="I12" i="1"/>
  <c r="B26" i="1"/>
  <c r="C31" i="1"/>
  <c r="E31" i="1"/>
  <c r="G31" i="1"/>
  <c r="C41" i="1"/>
  <c r="E41" i="1"/>
  <c r="E26" i="1"/>
  <c r="G26" i="1"/>
  <c r="F26" i="1"/>
  <c r="C35" i="1"/>
  <c r="E35" i="1"/>
  <c r="H26" i="1"/>
  <c r="D26" i="1"/>
  <c r="F36" i="1" l="1"/>
  <c r="C26" i="1"/>
  <c r="C20" i="1"/>
  <c r="G18" i="1"/>
  <c r="G20" i="1" s="1"/>
  <c r="E20" i="1"/>
  <c r="I18" i="1"/>
  <c r="I20" i="1" s="1"/>
  <c r="B35" i="1"/>
  <c r="B36" i="1" s="1"/>
  <c r="J17" i="1"/>
  <c r="J18" i="1" s="1"/>
  <c r="J20" i="1" s="1"/>
  <c r="H17" i="1"/>
  <c r="H18" i="1" s="1"/>
  <c r="H20" i="1" s="1"/>
  <c r="F17" i="1"/>
  <c r="F18" i="1" s="1"/>
  <c r="F20" i="1" s="1"/>
  <c r="D17" i="1"/>
  <c r="D18" i="1" s="1"/>
  <c r="D20" i="1" s="1"/>
  <c r="B17" i="1"/>
  <c r="B18" i="1" s="1"/>
  <c r="B20" i="1" s="1"/>
  <c r="D36" i="1"/>
  <c r="C46" i="1"/>
  <c r="C36" i="1"/>
  <c r="E36" i="1"/>
</calcChain>
</file>

<file path=xl/sharedStrings.xml><?xml version="1.0" encoding="utf-8"?>
<sst xmlns="http://schemas.openxmlformats.org/spreadsheetml/2006/main" count="79" uniqueCount="69">
  <si>
    <t>Cargo Fijo "A"</t>
  </si>
  <si>
    <t>Base</t>
  </si>
  <si>
    <t>Total Cargo Fijo Neto</t>
  </si>
  <si>
    <t>Comercial</t>
  </si>
  <si>
    <t>Instit - Serv</t>
  </si>
  <si>
    <t>Industria</t>
  </si>
  <si>
    <t>Valor Total Hilo</t>
  </si>
  <si>
    <t>250 a 500 m2</t>
  </si>
  <si>
    <t>1 a 250 m2</t>
  </si>
  <si>
    <t>5.001 a 10.000</t>
  </si>
  <si>
    <t>10.000 a 20.000</t>
  </si>
  <si>
    <t>&gt; 20.000 m.2</t>
  </si>
  <si>
    <t>Valor Total</t>
  </si>
  <si>
    <t>10.001 a 20.000</t>
  </si>
  <si>
    <t>0 a 1.000 M2</t>
  </si>
  <si>
    <t>&gt; 20.000 m2</t>
  </si>
  <si>
    <t>Valor Total Radicado</t>
  </si>
  <si>
    <t>PRORROGA</t>
  </si>
  <si>
    <t>OFICIOS</t>
  </si>
  <si>
    <t>TRÁMITES VARIOS</t>
  </si>
  <si>
    <t>Hasta 100 m3</t>
  </si>
  <si>
    <t>101 a 500 m3</t>
  </si>
  <si>
    <t>&gt; 20.000 m3</t>
  </si>
  <si>
    <t>IMPUESTOS DE CONSTRUCCIÓN</t>
  </si>
  <si>
    <t>Base Liquidación</t>
  </si>
  <si>
    <t>Impto Delineación</t>
  </si>
  <si>
    <t>Nomenclatura</t>
  </si>
  <si>
    <t>Total Impuesto x M.2</t>
  </si>
  <si>
    <t>COPIA CERT.</t>
  </si>
  <si>
    <t>Comer - Serv.</t>
  </si>
  <si>
    <t>1001 a 5.000</t>
  </si>
  <si>
    <t>501 a 1.000</t>
  </si>
  <si>
    <t>1.001 a 5.000</t>
  </si>
  <si>
    <t>0 a 300 m2</t>
  </si>
  <si>
    <t>300 a 1000</t>
  </si>
  <si>
    <t>&gt; 1.000 m2</t>
  </si>
  <si>
    <t>NORMAS</t>
  </si>
  <si>
    <t>Comercio - Industria - Institucion - Servicios</t>
  </si>
  <si>
    <t>C. FIJO HILOS O ALINEAMIENTO</t>
  </si>
  <si>
    <t>AJUSTE DE COTAS DE AREAS</t>
  </si>
  <si>
    <t>Uso del Suelo</t>
  </si>
  <si>
    <t>IVA</t>
  </si>
  <si>
    <t xml:space="preserve">Índice de Proporción         </t>
  </si>
  <si>
    <t xml:space="preserve">Base                                 </t>
  </si>
  <si>
    <t xml:space="preserve">Base                              </t>
  </si>
  <si>
    <t xml:space="preserve">Base                             </t>
  </si>
  <si>
    <t xml:space="preserve">Base                               </t>
  </si>
  <si>
    <t>RELOTEO</t>
  </si>
  <si>
    <t>SUBDIVISION</t>
  </si>
  <si>
    <t>PUBLICACION</t>
  </si>
  <si>
    <t>T. SUMA DE CARGOS F. Y ALINEA.</t>
  </si>
  <si>
    <t>BANCOLOMBIA</t>
  </si>
  <si>
    <t>IVA 19%</t>
  </si>
  <si>
    <t>SMMLV</t>
  </si>
  <si>
    <t>SMDLV</t>
  </si>
  <si>
    <t>MOD. PLANO-URB</t>
  </si>
  <si>
    <t>CUENTA AHORROS</t>
  </si>
  <si>
    <t>CUENTA BANCARIA</t>
  </si>
  <si>
    <t>Nº 298 0000 4836</t>
  </si>
  <si>
    <t>SELLOS DE P.H</t>
  </si>
  <si>
    <t>C. FIJO LIC URB. Y CONSTR.</t>
  </si>
  <si>
    <t>PRORROGA VIS</t>
  </si>
  <si>
    <t>ESTRATO</t>
  </si>
  <si>
    <t>EXCAVACIÓN - Mov. de Tierra</t>
  </si>
  <si>
    <t>2026 - TARIFAS DE EXPENSAS DE LA CURADURÍA SEGUNDA DE ENVIGADO</t>
  </si>
  <si>
    <t>UVT 2026</t>
  </si>
  <si>
    <t>UVT 2064*10,01</t>
  </si>
  <si>
    <t>Coeficiente Envigado</t>
  </si>
  <si>
    <t>Estatuto tributario Acuerdo 046 de 2024 para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</si>
</sst>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_);_(&quot;$&quot;\ * \(#,##0\);_(&quot;$&quot;\ * &quot;-&quot;_);_(@_)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1C88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C8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637443</xdr:colOff>
      <xdr:row>0</xdr:row>
      <xdr:rowOff>102578</xdr:rowOff>
    </xdr:from>
    <xdr:to>
      <xdr:col>5</xdr:col>
      <xdr:colOff>688731</xdr:colOff>
      <xdr:row>6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5847" y="102578"/>
          <a:ext cx="1780442" cy="864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Q54"/>
  <sheetViews>
    <sheetView showGridLines="0" tabSelected="1" showWhiteSpace="0" view="pageLayout" zoomScaleNormal="106" zoomScaleSheetLayoutView="106" workbookViewId="0">
      <selection activeCell="J50" sqref="J50"/>
    </sheetView>
  </sheetViews>
  <sheetFormatPr baseColWidth="10" defaultColWidth="11.42578125" defaultRowHeight="12.75" x14ac:dyDescent="0.25"/>
  <cols>
    <col min="1" max="1" width="26.7109375" style="3" customWidth="1"/>
    <col min="2" max="2" width="10.85546875" style="3" customWidth="1"/>
    <col min="3" max="3" width="11" style="3" customWidth="1"/>
    <col min="4" max="4" width="11.85546875" style="3" customWidth="1"/>
    <col min="5" max="5" width="12.28515625" style="3" customWidth="1"/>
    <col min="6" max="6" width="14.28515625" style="3" customWidth="1"/>
    <col min="7" max="7" width="11.85546875" style="3" customWidth="1"/>
    <col min="8" max="8" width="15.5703125" style="3" customWidth="1"/>
    <col min="9" max="9" width="12.7109375" style="3" customWidth="1"/>
    <col min="10" max="10" width="12.42578125" style="3" customWidth="1"/>
    <col min="11" max="11" width="11.42578125" style="3"/>
    <col min="12" max="12" width="6.28515625" style="3" customWidth="1"/>
    <col min="13" max="13" width="12.42578125" style="3" customWidth="1"/>
    <col min="14" max="16384" width="11.42578125" style="3"/>
  </cols>
  <sheetData>
    <row r="7" spans="1:17" ht="15.75" x14ac:dyDescent="0.25">
      <c r="A7" s="40" t="s">
        <v>64</v>
      </c>
      <c r="B7" s="40"/>
      <c r="C7" s="40"/>
      <c r="D7" s="40"/>
      <c r="E7" s="40"/>
      <c r="F7" s="40"/>
      <c r="G7" s="40"/>
      <c r="H7" s="40"/>
      <c r="I7" s="40"/>
      <c r="J7" s="40"/>
      <c r="K7" s="2"/>
      <c r="L7" s="2"/>
      <c r="M7" s="2"/>
      <c r="N7" s="2"/>
      <c r="O7" s="2"/>
      <c r="P7" s="2"/>
      <c r="Q7" s="2"/>
    </row>
    <row r="8" spans="1:17" s="4" customFormat="1" ht="11.25" x14ac:dyDescent="0.25">
      <c r="K8" s="5"/>
      <c r="L8" s="5"/>
      <c r="M8" s="5"/>
      <c r="N8" s="5"/>
      <c r="O8" s="5"/>
      <c r="P8" s="5"/>
      <c r="Q8" s="5"/>
    </row>
    <row r="9" spans="1:17" s="4" customFormat="1" ht="12" hidden="1" x14ac:dyDescent="0.25">
      <c r="A9" s="24" t="s">
        <v>38</v>
      </c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8" t="s">
        <v>3</v>
      </c>
      <c r="I9" s="8" t="s">
        <v>4</v>
      </c>
      <c r="J9" s="8" t="s">
        <v>5</v>
      </c>
      <c r="K9" s="5"/>
      <c r="L9" s="5"/>
      <c r="M9" s="5"/>
      <c r="N9" s="5"/>
      <c r="O9" s="5"/>
      <c r="P9" s="5"/>
      <c r="Q9" s="5"/>
    </row>
    <row r="10" spans="1:17" hidden="1" x14ac:dyDescent="0.25">
      <c r="A10" s="29" t="s">
        <v>43</v>
      </c>
      <c r="B10" s="9">
        <f>J38*0.05</f>
        <v>87344.1</v>
      </c>
      <c r="C10" s="9">
        <f>J38*0.09</f>
        <v>157219.38</v>
      </c>
      <c r="D10" s="9">
        <f>J38*0.18</f>
        <v>314438.76</v>
      </c>
      <c r="E10" s="9">
        <f>J38*0.21</f>
        <v>366845.22</v>
      </c>
      <c r="F10" s="9">
        <f>J38*0.24</f>
        <v>419251.68</v>
      </c>
      <c r="G10" s="9">
        <f>J38*0.3</f>
        <v>524064.6</v>
      </c>
      <c r="H10" s="9">
        <f>J38*0.24</f>
        <v>419251.68</v>
      </c>
      <c r="I10" s="9">
        <f>J38*0.24</f>
        <v>419251.68</v>
      </c>
      <c r="J10" s="9">
        <f>J38*0.3</f>
        <v>524064.6</v>
      </c>
      <c r="K10" s="2"/>
      <c r="L10" s="2"/>
      <c r="M10" s="2"/>
      <c r="N10" s="2"/>
      <c r="O10" s="2"/>
      <c r="P10" s="2"/>
      <c r="Q10" s="2"/>
    </row>
    <row r="11" spans="1:17" hidden="1" x14ac:dyDescent="0.25">
      <c r="A11" s="29" t="s">
        <v>52</v>
      </c>
      <c r="B11" s="9">
        <f>ROUND(B10*J36,0)</f>
        <v>16595</v>
      </c>
      <c r="C11" s="9">
        <f>ROUND(C10*J36,0)</f>
        <v>29872</v>
      </c>
      <c r="D11" s="9">
        <f>ROUND(D10*J36,0)</f>
        <v>59743</v>
      </c>
      <c r="E11" s="9">
        <f>ROUND(E10*J36,0)</f>
        <v>69701</v>
      </c>
      <c r="F11" s="9">
        <f>ROUND(F10*J36,0)</f>
        <v>79658</v>
      </c>
      <c r="G11" s="9">
        <f>ROUND(G10*J36,0)</f>
        <v>99572</v>
      </c>
      <c r="H11" s="9">
        <f>ROUND(H10*J36,0)</f>
        <v>79658</v>
      </c>
      <c r="I11" s="9">
        <f>ROUND(I10*J36,0)</f>
        <v>79658</v>
      </c>
      <c r="J11" s="9">
        <f>ROUND(J10*J36,0)</f>
        <v>99572</v>
      </c>
      <c r="K11" s="2"/>
      <c r="L11" s="2"/>
      <c r="M11" s="2"/>
      <c r="N11" s="2"/>
      <c r="O11" s="2"/>
      <c r="P11" s="2"/>
      <c r="Q11" s="2"/>
    </row>
    <row r="12" spans="1:17" hidden="1" x14ac:dyDescent="0.25">
      <c r="A12" s="29" t="s">
        <v>6</v>
      </c>
      <c r="B12" s="10">
        <f>B10+B11</f>
        <v>103939.1</v>
      </c>
      <c r="C12" s="10">
        <f t="shared" ref="C12:J12" si="0">SUM(C10:C11)</f>
        <v>187091.38</v>
      </c>
      <c r="D12" s="10">
        <f t="shared" si="0"/>
        <v>374181.76</v>
      </c>
      <c r="E12" s="10">
        <f t="shared" si="0"/>
        <v>436546.22</v>
      </c>
      <c r="F12" s="10">
        <f t="shared" si="0"/>
        <v>498909.68</v>
      </c>
      <c r="G12" s="10">
        <f t="shared" si="0"/>
        <v>623636.6</v>
      </c>
      <c r="H12" s="10">
        <f t="shared" si="0"/>
        <v>498909.68</v>
      </c>
      <c r="I12" s="10">
        <f t="shared" si="0"/>
        <v>498909.68</v>
      </c>
      <c r="J12" s="10">
        <f t="shared" si="0"/>
        <v>623636.6</v>
      </c>
      <c r="K12" s="2"/>
      <c r="L12" s="2"/>
      <c r="M12" s="2"/>
      <c r="N12" s="2"/>
      <c r="O12" s="2"/>
      <c r="P12" s="2"/>
      <c r="Q12" s="2"/>
    </row>
    <row r="13" spans="1:17" ht="9.75" customHeight="1" x14ac:dyDescent="0.25">
      <c r="A13" s="11"/>
      <c r="B13" s="45" t="s">
        <v>62</v>
      </c>
      <c r="C13" s="46"/>
      <c r="D13" s="46"/>
      <c r="E13" s="46"/>
      <c r="F13" s="46"/>
      <c r="G13" s="47"/>
      <c r="H13" s="12"/>
      <c r="I13" s="12"/>
      <c r="J13" s="12"/>
      <c r="K13" s="2"/>
      <c r="L13" s="2"/>
      <c r="M13" s="2"/>
      <c r="N13" s="2"/>
      <c r="O13" s="2"/>
      <c r="P13" s="2"/>
      <c r="Q13" s="2"/>
    </row>
    <row r="14" spans="1:17" s="4" customFormat="1" x14ac:dyDescent="0.25">
      <c r="A14" s="33" t="s">
        <v>60</v>
      </c>
      <c r="B14" s="8">
        <v>1</v>
      </c>
      <c r="C14" s="8">
        <v>2</v>
      </c>
      <c r="D14" s="8">
        <v>3</v>
      </c>
      <c r="E14" s="8">
        <v>4</v>
      </c>
      <c r="F14" s="8">
        <v>5</v>
      </c>
      <c r="G14" s="8">
        <v>6</v>
      </c>
      <c r="H14" s="45" t="s">
        <v>37</v>
      </c>
      <c r="I14" s="46"/>
      <c r="J14" s="47"/>
      <c r="K14" s="5"/>
      <c r="L14" s="5"/>
      <c r="M14" s="5"/>
      <c r="N14" s="5"/>
      <c r="O14" s="5"/>
      <c r="P14" s="5"/>
      <c r="Q14" s="5"/>
    </row>
    <row r="15" spans="1:17" x14ac:dyDescent="0.25">
      <c r="A15" s="28" t="s">
        <v>42</v>
      </c>
      <c r="B15" s="1">
        <v>0.5</v>
      </c>
      <c r="C15" s="1">
        <v>0.5</v>
      </c>
      <c r="D15" s="1">
        <v>1</v>
      </c>
      <c r="E15" s="1">
        <v>1.5</v>
      </c>
      <c r="F15" s="1">
        <v>2</v>
      </c>
      <c r="G15" s="1">
        <v>2.5</v>
      </c>
      <c r="H15" s="1" t="s">
        <v>33</v>
      </c>
      <c r="I15" s="1" t="s">
        <v>34</v>
      </c>
      <c r="J15" s="1" t="s">
        <v>35</v>
      </c>
      <c r="K15" s="2"/>
      <c r="L15" s="2"/>
      <c r="M15" s="2"/>
      <c r="N15" s="2"/>
      <c r="O15" s="2"/>
      <c r="P15" s="2"/>
      <c r="Q15" s="2"/>
    </row>
    <row r="16" spans="1:17" x14ac:dyDescent="0.25">
      <c r="A16" s="28" t="s">
        <v>0</v>
      </c>
      <c r="B16" s="9">
        <f>(J34*0.5)*J35</f>
        <v>199220.2212</v>
      </c>
      <c r="C16" s="9">
        <f>(J34*0.5)*J35</f>
        <v>199220.2212</v>
      </c>
      <c r="D16" s="9">
        <f>(J34*1)*J35</f>
        <v>398440.4424</v>
      </c>
      <c r="E16" s="9">
        <f>(J34*1.5)*J35</f>
        <v>597660.66359999997</v>
      </c>
      <c r="F16" s="9">
        <f>(J34*2)*J35</f>
        <v>796880.8848</v>
      </c>
      <c r="G16" s="9">
        <f>(J34*2.5)*J35</f>
        <v>996101.10600000003</v>
      </c>
      <c r="H16" s="9">
        <f>(J34*2.9)*J35</f>
        <v>1155477.28296</v>
      </c>
      <c r="I16" s="9">
        <f>(J34*3.2)*J35</f>
        <v>1275009.4156800001</v>
      </c>
      <c r="J16" s="9">
        <f>(J34*4)*J35</f>
        <v>1593761.7696</v>
      </c>
      <c r="K16" s="2"/>
      <c r="L16" s="2"/>
      <c r="M16" s="2"/>
      <c r="N16" s="2"/>
      <c r="O16" s="2"/>
      <c r="P16" s="2"/>
      <c r="Q16" s="2"/>
    </row>
    <row r="17" spans="1:17" x14ac:dyDescent="0.25">
      <c r="A17" s="29" t="str">
        <f>A11</f>
        <v>IVA 19%</v>
      </c>
      <c r="B17" s="9">
        <f>ROUND(B16*J36,0)</f>
        <v>37852</v>
      </c>
      <c r="C17" s="9">
        <f>ROUND(C16*J36,0)</f>
        <v>37852</v>
      </c>
      <c r="D17" s="9">
        <f>ROUND(D16*J36,0)</f>
        <v>75704</v>
      </c>
      <c r="E17" s="9">
        <f>ROUND(E16*J36,0)</f>
        <v>113556</v>
      </c>
      <c r="F17" s="9">
        <f>ROUND(F16*J36,0)</f>
        <v>151407</v>
      </c>
      <c r="G17" s="9">
        <f>ROUND(G16*J36,0)</f>
        <v>189259</v>
      </c>
      <c r="H17" s="9">
        <f>ROUND(H16*J36,0)</f>
        <v>219541</v>
      </c>
      <c r="I17" s="9">
        <f>ROUND(I16*J36,0)</f>
        <v>242252</v>
      </c>
      <c r="J17" s="9">
        <f>ROUND(J16*J36,0)</f>
        <v>302815</v>
      </c>
      <c r="K17" s="2"/>
      <c r="L17" s="2"/>
      <c r="M17" s="2"/>
      <c r="N17" s="2"/>
      <c r="O17" s="2"/>
      <c r="P17" s="2"/>
      <c r="Q17" s="2"/>
    </row>
    <row r="18" spans="1:17" x14ac:dyDescent="0.25">
      <c r="A18" s="28" t="s">
        <v>2</v>
      </c>
      <c r="B18" s="10">
        <f>B16+B17</f>
        <v>237072.2212</v>
      </c>
      <c r="C18" s="10">
        <f>C16+C17</f>
        <v>237072.2212</v>
      </c>
      <c r="D18" s="10">
        <f t="shared" ref="D18:E18" si="1">SUM(D16:D17)</f>
        <v>474144.4424</v>
      </c>
      <c r="E18" s="10">
        <f t="shared" si="1"/>
        <v>711216.66359999997</v>
      </c>
      <c r="F18" s="10">
        <f>F16+F17</f>
        <v>948287.8848</v>
      </c>
      <c r="G18" s="10">
        <f t="shared" ref="G18:J18" si="2">SUM(G16:G17)</f>
        <v>1185360.1060000001</v>
      </c>
      <c r="H18" s="10">
        <f t="shared" si="2"/>
        <v>1375018.28296</v>
      </c>
      <c r="I18" s="10">
        <f t="shared" si="2"/>
        <v>1517261.4156800001</v>
      </c>
      <c r="J18" s="10">
        <f t="shared" si="2"/>
        <v>1896576.7696</v>
      </c>
      <c r="K18" s="2"/>
      <c r="L18" s="2"/>
      <c r="M18" s="2"/>
      <c r="N18" s="2"/>
      <c r="O18" s="2"/>
      <c r="P18" s="2"/>
      <c r="Q18" s="2"/>
    </row>
    <row r="19" spans="1:17" ht="6" customHeight="1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2"/>
      <c r="L19" s="2"/>
      <c r="M19" s="2"/>
      <c r="N19" s="2"/>
      <c r="O19" s="2"/>
      <c r="P19" s="2"/>
      <c r="Q19" s="2"/>
    </row>
    <row r="20" spans="1:17" hidden="1" x14ac:dyDescent="0.25">
      <c r="A20" s="6" t="s">
        <v>50</v>
      </c>
      <c r="B20" s="13">
        <f>B12+B18</f>
        <v>341011.32120000001</v>
      </c>
      <c r="C20" s="13">
        <f t="shared" ref="C20:J20" si="3">C12+C18</f>
        <v>424163.60120000003</v>
      </c>
      <c r="D20" s="13">
        <f t="shared" si="3"/>
        <v>848326.20240000007</v>
      </c>
      <c r="E20" s="13">
        <f t="shared" si="3"/>
        <v>1147762.8835999998</v>
      </c>
      <c r="F20" s="13">
        <f t="shared" si="3"/>
        <v>1447197.5648000001</v>
      </c>
      <c r="G20" s="13">
        <f t="shared" si="3"/>
        <v>1808996.7060000002</v>
      </c>
      <c r="H20" s="13">
        <f t="shared" si="3"/>
        <v>1873927.9629599999</v>
      </c>
      <c r="I20" s="13">
        <f t="shared" si="3"/>
        <v>2016171.09568</v>
      </c>
      <c r="J20" s="13">
        <f t="shared" si="3"/>
        <v>2520213.3695999999</v>
      </c>
      <c r="K20" s="2"/>
      <c r="L20" s="2"/>
      <c r="M20" s="2"/>
      <c r="N20" s="2"/>
      <c r="O20" s="2"/>
      <c r="P20" s="2"/>
      <c r="Q20" s="2"/>
    </row>
    <row r="21" spans="1:17" ht="6" customHeight="1" x14ac:dyDescent="0.2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2"/>
      <c r="L21" s="2"/>
      <c r="M21" s="2"/>
      <c r="N21" s="2"/>
      <c r="O21" s="2"/>
      <c r="P21" s="2"/>
      <c r="Q21" s="2"/>
    </row>
    <row r="22" spans="1:17" ht="3.95" customHeight="1" x14ac:dyDescent="0.2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2"/>
      <c r="L22" s="2"/>
      <c r="M22" s="2"/>
      <c r="N22" s="2"/>
      <c r="O22" s="2"/>
      <c r="P22" s="2"/>
      <c r="Q22" s="2"/>
    </row>
    <row r="23" spans="1:17" s="4" customFormat="1" ht="12" customHeight="1" x14ac:dyDescent="0.25">
      <c r="A23" s="33" t="s">
        <v>63</v>
      </c>
      <c r="B23" s="14" t="s">
        <v>20</v>
      </c>
      <c r="C23" s="14" t="s">
        <v>21</v>
      </c>
      <c r="D23" s="14" t="s">
        <v>31</v>
      </c>
      <c r="E23" s="14" t="s">
        <v>30</v>
      </c>
      <c r="F23" s="14" t="s">
        <v>9</v>
      </c>
      <c r="G23" s="14" t="s">
        <v>13</v>
      </c>
      <c r="H23" s="14" t="s">
        <v>22</v>
      </c>
      <c r="I23" s="15"/>
      <c r="J23" s="15"/>
      <c r="K23" s="5"/>
      <c r="L23" s="5"/>
      <c r="M23" s="5"/>
      <c r="N23" s="5"/>
      <c r="O23" s="5"/>
      <c r="P23" s="5"/>
      <c r="Q23" s="5"/>
    </row>
    <row r="24" spans="1:17" x14ac:dyDescent="0.25">
      <c r="A24" s="28" t="s">
        <v>44</v>
      </c>
      <c r="B24" s="9">
        <f>J33*1.67</f>
        <v>87464.58</v>
      </c>
      <c r="C24" s="9">
        <f>J33*3.34</f>
        <v>174929.16</v>
      </c>
      <c r="D24" s="9">
        <f>J33*25.02</f>
        <v>1310397.48</v>
      </c>
      <c r="E24" s="9">
        <f>J33*50.05</f>
        <v>2621318.6999999997</v>
      </c>
      <c r="F24" s="9">
        <f>J33*75.07</f>
        <v>3931716.1799999997</v>
      </c>
      <c r="G24" s="9">
        <f>J33*100.09</f>
        <v>5242113.66</v>
      </c>
      <c r="H24" s="9">
        <f>J33*125.11</f>
        <v>6552511.1399999997</v>
      </c>
      <c r="I24" s="16"/>
      <c r="J24" s="16"/>
      <c r="K24" s="2"/>
      <c r="L24" s="2"/>
      <c r="M24" s="2"/>
      <c r="N24" s="2"/>
      <c r="O24" s="2"/>
      <c r="P24" s="2"/>
      <c r="Q24" s="2"/>
    </row>
    <row r="25" spans="1:17" x14ac:dyDescent="0.25">
      <c r="A25" s="29" t="str">
        <f>A11</f>
        <v>IVA 19%</v>
      </c>
      <c r="B25" s="9">
        <f>ROUND(B24*J36,0)</f>
        <v>16618</v>
      </c>
      <c r="C25" s="9">
        <f>ROUND(C24*J36,0)</f>
        <v>33237</v>
      </c>
      <c r="D25" s="9">
        <f>ROUND(D24*J36,0)</f>
        <v>248976</v>
      </c>
      <c r="E25" s="9">
        <f>ROUND(E24*J36,0)</f>
        <v>498051</v>
      </c>
      <c r="F25" s="9">
        <f>ROUND(F24*J36,0)</f>
        <v>747026</v>
      </c>
      <c r="G25" s="9">
        <f>ROUND(G24*J36,0)</f>
        <v>996002</v>
      </c>
      <c r="H25" s="9">
        <f>ROUND(H24*J36,0)</f>
        <v>1244977</v>
      </c>
      <c r="I25" s="16"/>
      <c r="J25" s="16"/>
      <c r="K25" s="2"/>
      <c r="L25" s="2"/>
      <c r="M25" s="2"/>
      <c r="N25" s="2"/>
      <c r="O25" s="2"/>
      <c r="P25" s="2"/>
      <c r="Q25" s="2"/>
    </row>
    <row r="26" spans="1:17" x14ac:dyDescent="0.25">
      <c r="A26" s="28" t="s">
        <v>12</v>
      </c>
      <c r="B26" s="10">
        <f t="shared" ref="B26:H26" si="4">SUM(B24:B25)</f>
        <v>104082.58</v>
      </c>
      <c r="C26" s="10">
        <f t="shared" si="4"/>
        <v>208166.16</v>
      </c>
      <c r="D26" s="10">
        <f t="shared" si="4"/>
        <v>1559373.48</v>
      </c>
      <c r="E26" s="10">
        <f t="shared" si="4"/>
        <v>3119369.6999999997</v>
      </c>
      <c r="F26" s="10">
        <f t="shared" si="4"/>
        <v>4678742.18</v>
      </c>
      <c r="G26" s="10">
        <f t="shared" si="4"/>
        <v>6238115.6600000001</v>
      </c>
      <c r="H26" s="10">
        <f t="shared" si="4"/>
        <v>7797488.1399999997</v>
      </c>
      <c r="I26" s="17"/>
      <c r="J26" s="17"/>
      <c r="K26" s="2"/>
      <c r="L26" s="2"/>
      <c r="M26" s="2"/>
      <c r="N26" s="2"/>
      <c r="O26" s="2"/>
      <c r="P26" s="2"/>
      <c r="Q26" s="2"/>
    </row>
    <row r="27" spans="1:17" ht="3.95" customHeight="1" x14ac:dyDescent="0.25">
      <c r="A27" s="11"/>
      <c r="B27" s="12"/>
      <c r="C27" s="12"/>
      <c r="D27" s="12"/>
      <c r="E27" s="12"/>
      <c r="F27" s="12"/>
      <c r="G27" s="12"/>
      <c r="H27" s="12"/>
      <c r="I27" s="17"/>
      <c r="J27" s="17"/>
      <c r="K27" s="2"/>
      <c r="L27" s="2"/>
      <c r="M27" s="2"/>
      <c r="N27" s="2"/>
      <c r="O27" s="2"/>
      <c r="P27" s="2"/>
      <c r="Q27" s="2"/>
    </row>
    <row r="28" spans="1:17" s="4" customFormat="1" x14ac:dyDescent="0.25">
      <c r="A28" s="33" t="s">
        <v>59</v>
      </c>
      <c r="B28" s="14" t="s">
        <v>8</v>
      </c>
      <c r="C28" s="14" t="s">
        <v>7</v>
      </c>
      <c r="D28" s="14" t="s">
        <v>31</v>
      </c>
      <c r="E28" s="14" t="s">
        <v>32</v>
      </c>
      <c r="F28" s="14" t="s">
        <v>9</v>
      </c>
      <c r="G28" s="14" t="s">
        <v>10</v>
      </c>
      <c r="H28" s="14" t="s">
        <v>11</v>
      </c>
      <c r="I28" s="18"/>
      <c r="J28" s="18"/>
      <c r="K28" s="5"/>
      <c r="L28" s="5"/>
      <c r="M28" s="5"/>
      <c r="N28" s="5"/>
      <c r="O28" s="5"/>
      <c r="P28" s="5"/>
      <c r="Q28" s="5"/>
    </row>
    <row r="29" spans="1:17" x14ac:dyDescent="0.25">
      <c r="A29" s="28" t="s">
        <v>45</v>
      </c>
      <c r="B29" s="9">
        <f>J33*6.26</f>
        <v>327861.24</v>
      </c>
      <c r="C29" s="9">
        <f>J33*12.51</f>
        <v>655198.74</v>
      </c>
      <c r="D29" s="9">
        <f>J33*25.02</f>
        <v>1310397.48</v>
      </c>
      <c r="E29" s="9">
        <f>J33*50.05</f>
        <v>2621318.6999999997</v>
      </c>
      <c r="F29" s="9">
        <f>J33*75.07</f>
        <v>3931716.1799999997</v>
      </c>
      <c r="G29" s="9">
        <f>J33*100.09</f>
        <v>5242113.66</v>
      </c>
      <c r="H29" s="9">
        <f>J33*125.11</f>
        <v>6552511.1399999997</v>
      </c>
      <c r="I29" s="16"/>
      <c r="J29" s="16"/>
      <c r="K29" s="2"/>
      <c r="L29" s="2"/>
      <c r="M29" s="2"/>
      <c r="N29" s="2"/>
      <c r="O29" s="2"/>
      <c r="P29" s="2"/>
      <c r="Q29" s="2"/>
    </row>
    <row r="30" spans="1:17" x14ac:dyDescent="0.25">
      <c r="A30" s="29" t="str">
        <f>A11</f>
        <v>IVA 19%</v>
      </c>
      <c r="B30" s="9">
        <f>ROUND(B29*J36,0)</f>
        <v>62294</v>
      </c>
      <c r="C30" s="9">
        <f>ROUND(C29*J36,0)</f>
        <v>124488</v>
      </c>
      <c r="D30" s="9">
        <f>ROUND(D29*J36,0)</f>
        <v>248976</v>
      </c>
      <c r="E30" s="9">
        <f>ROUND(E29*J36,0)</f>
        <v>498051</v>
      </c>
      <c r="F30" s="9">
        <f>ROUND(F29*J36,0)</f>
        <v>747026</v>
      </c>
      <c r="G30" s="9">
        <f>ROUND(G29*J36,0)</f>
        <v>996002</v>
      </c>
      <c r="H30" s="9">
        <f>ROUND(H29*J36,0)</f>
        <v>1244977</v>
      </c>
      <c r="I30" s="16"/>
      <c r="J30" s="16"/>
      <c r="K30" s="2"/>
      <c r="L30" s="2"/>
      <c r="M30" s="2"/>
      <c r="N30" s="2"/>
      <c r="O30" s="2"/>
      <c r="P30" s="2"/>
      <c r="Q30" s="2"/>
    </row>
    <row r="31" spans="1:17" x14ac:dyDescent="0.25">
      <c r="A31" s="28" t="s">
        <v>12</v>
      </c>
      <c r="B31" s="10">
        <f t="shared" ref="B31:H31" si="5">SUM(B29:B30)</f>
        <v>390155.24</v>
      </c>
      <c r="C31" s="10">
        <f t="shared" si="5"/>
        <v>779686.74</v>
      </c>
      <c r="D31" s="10">
        <f t="shared" si="5"/>
        <v>1559373.48</v>
      </c>
      <c r="E31" s="10">
        <f t="shared" si="5"/>
        <v>3119369.6999999997</v>
      </c>
      <c r="F31" s="10">
        <f t="shared" si="5"/>
        <v>4678742.18</v>
      </c>
      <c r="G31" s="10">
        <f t="shared" si="5"/>
        <v>6238115.6600000001</v>
      </c>
      <c r="H31" s="10">
        <f t="shared" si="5"/>
        <v>7797488.1399999997</v>
      </c>
      <c r="I31" s="16"/>
      <c r="J31" s="16"/>
      <c r="K31" s="2"/>
      <c r="L31" s="2"/>
      <c r="M31" s="2"/>
      <c r="N31" s="2"/>
      <c r="O31" s="2"/>
      <c r="P31" s="2"/>
      <c r="Q31" s="2"/>
    </row>
    <row r="32" spans="1:17" ht="3.95" customHeight="1" x14ac:dyDescent="0.25">
      <c r="A32" s="11"/>
      <c r="B32" s="12"/>
      <c r="C32" s="12"/>
      <c r="D32" s="12"/>
      <c r="E32" s="12"/>
      <c r="F32" s="12"/>
      <c r="G32" s="12"/>
      <c r="H32" s="12"/>
      <c r="I32" s="17"/>
      <c r="J32" s="17"/>
      <c r="K32" s="2"/>
      <c r="L32" s="2"/>
      <c r="M32" s="2"/>
      <c r="N32" s="2"/>
      <c r="O32" s="2"/>
      <c r="P32" s="2"/>
      <c r="Q32" s="2"/>
    </row>
    <row r="33" spans="1:17" s="4" customFormat="1" x14ac:dyDescent="0.25">
      <c r="A33" s="33" t="s">
        <v>39</v>
      </c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18"/>
      <c r="I33" s="34" t="s">
        <v>65</v>
      </c>
      <c r="J33" s="34">
        <v>52374</v>
      </c>
      <c r="K33" s="5"/>
      <c r="L33" s="5"/>
      <c r="M33" s="5"/>
      <c r="N33" s="5"/>
      <c r="O33" s="5"/>
      <c r="P33" s="5"/>
      <c r="Q33" s="5"/>
    </row>
    <row r="34" spans="1:17" x14ac:dyDescent="0.25">
      <c r="A34" s="28" t="s">
        <v>46</v>
      </c>
      <c r="B34" s="9">
        <f>J33*3.34</f>
        <v>174929.16</v>
      </c>
      <c r="C34" s="9">
        <f>J33*3.34</f>
        <v>174929.16</v>
      </c>
      <c r="D34" s="9">
        <f>J33*6.67</f>
        <v>349334.58</v>
      </c>
      <c r="E34" s="9">
        <f>J33*6.67</f>
        <v>349334.58</v>
      </c>
      <c r="F34" s="9">
        <f>J33*10.01</f>
        <v>524263.74</v>
      </c>
      <c r="G34" s="9">
        <f>J33*10.01</f>
        <v>524263.74</v>
      </c>
      <c r="H34" s="16"/>
      <c r="I34" s="35" t="s">
        <v>66</v>
      </c>
      <c r="J34" s="36">
        <f>J33*10.01</f>
        <v>524263.74</v>
      </c>
      <c r="K34" s="2"/>
      <c r="L34" s="2"/>
      <c r="M34" s="2"/>
      <c r="N34" s="2"/>
      <c r="O34" s="2"/>
      <c r="P34" s="2"/>
      <c r="Q34" s="2"/>
    </row>
    <row r="35" spans="1:17" ht="22.5" x14ac:dyDescent="0.25">
      <c r="A35" s="28" t="str">
        <f>A11</f>
        <v>IVA 19%</v>
      </c>
      <c r="B35" s="9">
        <f>ROUND(B34*J36,0)</f>
        <v>33237</v>
      </c>
      <c r="C35" s="9">
        <f>ROUND(C34*J36,0)</f>
        <v>33237</v>
      </c>
      <c r="D35" s="9">
        <f>ROUND(D34*J36,0)</f>
        <v>66374</v>
      </c>
      <c r="E35" s="9">
        <f>ROUND(E34*J36,0)</f>
        <v>66374</v>
      </c>
      <c r="F35" s="9">
        <f>ROUND(F34*J36,0)</f>
        <v>99610</v>
      </c>
      <c r="G35" s="9">
        <f>ROUND(G34*J36,0)</f>
        <v>99610</v>
      </c>
      <c r="H35" s="16"/>
      <c r="I35" s="37" t="s">
        <v>67</v>
      </c>
      <c r="J35" s="34">
        <v>0.76</v>
      </c>
      <c r="K35" s="2"/>
      <c r="L35" s="2"/>
      <c r="M35" s="2"/>
      <c r="N35" s="2"/>
      <c r="O35" s="2"/>
      <c r="P35" s="2"/>
      <c r="Q35" s="2"/>
    </row>
    <row r="36" spans="1:17" x14ac:dyDescent="0.25">
      <c r="A36" s="28" t="s">
        <v>12</v>
      </c>
      <c r="B36" s="10">
        <f t="shared" ref="B36:G36" si="6">SUM(B34:B35)</f>
        <v>208166.16</v>
      </c>
      <c r="C36" s="10">
        <f t="shared" si="6"/>
        <v>208166.16</v>
      </c>
      <c r="D36" s="10">
        <f t="shared" si="6"/>
        <v>415708.58</v>
      </c>
      <c r="E36" s="10">
        <f t="shared" si="6"/>
        <v>415708.58</v>
      </c>
      <c r="F36" s="10">
        <f t="shared" si="6"/>
        <v>623873.74</v>
      </c>
      <c r="G36" s="19">
        <f t="shared" si="6"/>
        <v>623873.74</v>
      </c>
      <c r="H36" s="22"/>
      <c r="I36" s="34" t="s">
        <v>41</v>
      </c>
      <c r="J36" s="34">
        <v>0.19</v>
      </c>
      <c r="K36" s="22"/>
      <c r="L36" s="16"/>
      <c r="M36" s="16"/>
      <c r="N36" s="16"/>
    </row>
    <row r="37" spans="1:17" ht="4.5" customHeight="1" x14ac:dyDescent="0.25">
      <c r="A37" s="20"/>
      <c r="H37" s="22"/>
      <c r="I37" s="34"/>
      <c r="J37" s="34"/>
      <c r="K37" s="22"/>
      <c r="L37" s="16"/>
      <c r="M37" s="16"/>
      <c r="N37" s="16"/>
    </row>
    <row r="38" spans="1:17" s="4" customFormat="1" x14ac:dyDescent="0.25">
      <c r="A38" s="33" t="s">
        <v>47</v>
      </c>
      <c r="B38" s="8" t="s">
        <v>14</v>
      </c>
      <c r="C38" s="8" t="s">
        <v>32</v>
      </c>
      <c r="D38" s="8" t="s">
        <v>9</v>
      </c>
      <c r="E38" s="8" t="s">
        <v>13</v>
      </c>
      <c r="F38" s="8" t="s">
        <v>15</v>
      </c>
      <c r="G38" s="32" t="s">
        <v>49</v>
      </c>
      <c r="H38" s="18"/>
      <c r="I38" s="38" t="s">
        <v>53</v>
      </c>
      <c r="J38" s="38">
        <v>1746882</v>
      </c>
      <c r="K38" s="18"/>
      <c r="L38" s="18"/>
      <c r="M38" s="18"/>
      <c r="N38" s="18"/>
    </row>
    <row r="39" spans="1:17" x14ac:dyDescent="0.25">
      <c r="A39" s="28" t="s">
        <v>44</v>
      </c>
      <c r="B39" s="21">
        <f>J33*1.67</f>
        <v>87464.58</v>
      </c>
      <c r="C39" s="9">
        <f>J33*12.51</f>
        <v>655198.74</v>
      </c>
      <c r="D39" s="9">
        <f>J33*25.02</f>
        <v>1310397.48</v>
      </c>
      <c r="E39" s="9">
        <f>J33*37.53</f>
        <v>1965596.22</v>
      </c>
      <c r="F39" s="9">
        <f>J33*50.05</f>
        <v>2621318.6999999997</v>
      </c>
      <c r="G39" s="21"/>
      <c r="H39" s="16"/>
      <c r="I39" s="38" t="s">
        <v>54</v>
      </c>
      <c r="J39" s="38">
        <f>J38/30</f>
        <v>58229.4</v>
      </c>
      <c r="K39" s="16"/>
      <c r="L39" s="16"/>
      <c r="M39" s="16"/>
      <c r="N39" s="16"/>
    </row>
    <row r="40" spans="1:17" x14ac:dyDescent="0.25">
      <c r="A40" s="28" t="str">
        <f>A11</f>
        <v>IVA 19%</v>
      </c>
      <c r="B40" s="9">
        <f>ROUND(B39*J36,0)</f>
        <v>16618</v>
      </c>
      <c r="C40" s="9">
        <f>ROUND(C39*J36,0)</f>
        <v>124488</v>
      </c>
      <c r="D40" s="9">
        <f>ROUND(D39*J36,0)</f>
        <v>248976</v>
      </c>
      <c r="E40" s="9">
        <f>ROUND(E39*J36,0)</f>
        <v>373463</v>
      </c>
      <c r="F40" s="9">
        <f>ROUND(F39*J36,0)</f>
        <v>498051</v>
      </c>
      <c r="H40" s="23"/>
      <c r="I40" s="22"/>
      <c r="J40" s="16"/>
      <c r="K40" s="16"/>
      <c r="L40" s="16"/>
      <c r="M40" s="16"/>
      <c r="N40" s="16"/>
    </row>
    <row r="41" spans="1:17" ht="19.5" customHeight="1" x14ac:dyDescent="0.25">
      <c r="A41" s="28" t="s">
        <v>16</v>
      </c>
      <c r="B41" s="10">
        <f t="shared" ref="B41:F41" si="7">SUM(B39:B40)</f>
        <v>104082.58</v>
      </c>
      <c r="C41" s="10">
        <f t="shared" si="7"/>
        <v>779686.74</v>
      </c>
      <c r="D41" s="10">
        <f t="shared" si="7"/>
        <v>1559373.48</v>
      </c>
      <c r="E41" s="10">
        <f t="shared" si="7"/>
        <v>2339059.2199999997</v>
      </c>
      <c r="F41" s="10">
        <f t="shared" si="7"/>
        <v>3119369.6999999997</v>
      </c>
      <c r="H41" s="23"/>
      <c r="I41" s="23"/>
      <c r="J41" s="16"/>
      <c r="K41" s="16"/>
      <c r="L41" s="16"/>
      <c r="M41" s="16"/>
      <c r="N41" s="16"/>
    </row>
    <row r="42" spans="1:17" ht="16.5" customHeight="1" x14ac:dyDescent="0.25">
      <c r="A42" s="30"/>
      <c r="B42" s="12"/>
      <c r="C42" s="12"/>
      <c r="D42" s="12"/>
      <c r="E42" s="12"/>
      <c r="F42" s="12"/>
      <c r="G42" s="31" t="s">
        <v>40</v>
      </c>
      <c r="H42" s="16"/>
      <c r="I42" s="16"/>
      <c r="J42" s="16"/>
      <c r="K42" s="16"/>
      <c r="L42" s="16"/>
      <c r="M42" s="16"/>
      <c r="N42" s="16"/>
    </row>
    <row r="43" spans="1:17" x14ac:dyDescent="0.25">
      <c r="A43" s="33" t="s">
        <v>19</v>
      </c>
      <c r="B43" s="33" t="s">
        <v>36</v>
      </c>
      <c r="C43" s="33" t="s">
        <v>28</v>
      </c>
      <c r="D43" s="33" t="s">
        <v>17</v>
      </c>
      <c r="E43" s="33" t="s">
        <v>48</v>
      </c>
      <c r="F43" s="33" t="s">
        <v>55</v>
      </c>
      <c r="G43" s="33" t="s">
        <v>18</v>
      </c>
      <c r="H43" s="33" t="s">
        <v>61</v>
      </c>
      <c r="I43" s="16"/>
      <c r="J43" s="16"/>
      <c r="K43" s="16"/>
      <c r="L43" s="16"/>
      <c r="M43" s="16"/>
      <c r="N43" s="16"/>
    </row>
    <row r="44" spans="1:17" x14ac:dyDescent="0.25">
      <c r="A44" s="28" t="s">
        <v>1</v>
      </c>
      <c r="B44" s="21">
        <f>J33*8.34</f>
        <v>436799.16</v>
      </c>
      <c r="C44" s="21">
        <f>J33*0.834</f>
        <v>43679.915999999997</v>
      </c>
      <c r="D44" s="9">
        <f>J33*25.02</f>
        <v>1310397.48</v>
      </c>
      <c r="E44" s="9">
        <f>J33*25.02</f>
        <v>1310397.48</v>
      </c>
      <c r="F44" s="25">
        <f>J33*25.02</f>
        <v>1310397.48</v>
      </c>
      <c r="G44" s="21">
        <f>J33*1.67</f>
        <v>87464.58</v>
      </c>
      <c r="H44" s="21">
        <f>J33*1.67</f>
        <v>87464.58</v>
      </c>
      <c r="I44" s="16"/>
      <c r="J44" s="16"/>
      <c r="K44" s="16"/>
      <c r="L44" s="16"/>
      <c r="M44" s="16"/>
      <c r="N44" s="16"/>
    </row>
    <row r="45" spans="1:17" x14ac:dyDescent="0.25">
      <c r="A45" s="28" t="str">
        <f>A11</f>
        <v>IVA 19%</v>
      </c>
      <c r="B45" s="21">
        <f>ROUND(B44*J36,0)</f>
        <v>82992</v>
      </c>
      <c r="C45" s="21">
        <f>ROUND(C44*J36,0)</f>
        <v>8299</v>
      </c>
      <c r="D45" s="9">
        <f>ROUND(D44*J36,0)</f>
        <v>248976</v>
      </c>
      <c r="E45" s="9">
        <f>ROUND(E44*J36,0)</f>
        <v>248976</v>
      </c>
      <c r="F45" s="25">
        <f>ROUND(F44*J36,0)</f>
        <v>248976</v>
      </c>
      <c r="G45" s="21">
        <f>ROUND(G44*J36,0)</f>
        <v>16618</v>
      </c>
      <c r="H45" s="21">
        <f>ROUND(G44*J36,0)</f>
        <v>16618</v>
      </c>
      <c r="J45" s="16"/>
      <c r="K45" s="16"/>
      <c r="L45" s="16"/>
      <c r="M45" s="16"/>
      <c r="N45" s="16"/>
    </row>
    <row r="46" spans="1:17" x14ac:dyDescent="0.25">
      <c r="A46" s="28" t="s">
        <v>12</v>
      </c>
      <c r="B46" s="26">
        <f t="shared" ref="B46:G46" si="8">SUM(B44:B45)</f>
        <v>519791.16</v>
      </c>
      <c r="C46" s="26">
        <f t="shared" si="8"/>
        <v>51978.915999999997</v>
      </c>
      <c r="D46" s="10">
        <f t="shared" si="8"/>
        <v>1559373.48</v>
      </c>
      <c r="E46" s="10">
        <f t="shared" si="8"/>
        <v>1559373.48</v>
      </c>
      <c r="F46" s="27">
        <f t="shared" si="8"/>
        <v>1559373.48</v>
      </c>
      <c r="G46" s="26">
        <f t="shared" si="8"/>
        <v>104082.58</v>
      </c>
      <c r="H46" s="26">
        <f t="shared" ref="H46" si="9">SUM(H44:H45)</f>
        <v>104082.58</v>
      </c>
      <c r="I46" s="16"/>
      <c r="J46" s="16"/>
      <c r="K46" s="16"/>
      <c r="L46" s="16"/>
      <c r="M46" s="16"/>
      <c r="N46" s="16"/>
    </row>
    <row r="47" spans="1:17" ht="3.95" customHeight="1" x14ac:dyDescent="0.25">
      <c r="J47" s="16"/>
      <c r="K47" s="16"/>
      <c r="L47" s="16"/>
      <c r="M47" s="16"/>
      <c r="N47" s="16"/>
    </row>
    <row r="48" spans="1:17" s="4" customFormat="1" ht="12" x14ac:dyDescent="0.25">
      <c r="A48" s="39" t="s">
        <v>23</v>
      </c>
      <c r="B48" s="7">
        <v>1</v>
      </c>
      <c r="C48" s="7">
        <v>2</v>
      </c>
      <c r="D48" s="7">
        <v>3</v>
      </c>
      <c r="E48" s="7">
        <v>4</v>
      </c>
      <c r="F48" s="7">
        <v>5</v>
      </c>
      <c r="G48" s="7">
        <v>6</v>
      </c>
      <c r="H48" s="8" t="s">
        <v>29</v>
      </c>
      <c r="I48" s="8" t="s">
        <v>5</v>
      </c>
      <c r="J48" s="18"/>
      <c r="K48" s="18"/>
      <c r="L48" s="18"/>
      <c r="M48" s="18"/>
      <c r="N48" s="18"/>
    </row>
    <row r="49" spans="1:14" x14ac:dyDescent="0.25">
      <c r="A49" s="28" t="s">
        <v>24</v>
      </c>
      <c r="B49" s="9">
        <f>($J$33*12)</f>
        <v>628488</v>
      </c>
      <c r="C49" s="9">
        <f>($J$33*14)</f>
        <v>733236</v>
      </c>
      <c r="D49" s="9">
        <f>($J$33*27)</f>
        <v>1414098</v>
      </c>
      <c r="E49" s="9">
        <f>($J$33*31)</f>
        <v>1623594</v>
      </c>
      <c r="F49" s="9">
        <f>($J$33*36)</f>
        <v>1885464</v>
      </c>
      <c r="G49" s="9">
        <f>($J$33*45)</f>
        <v>2356830</v>
      </c>
      <c r="H49" s="9">
        <f>($J$33*36)</f>
        <v>1885464</v>
      </c>
      <c r="I49" s="9">
        <f t="shared" ref="H49:I49" si="10">($J$33*45)</f>
        <v>2356830</v>
      </c>
      <c r="J49" s="16"/>
      <c r="K49" s="16"/>
      <c r="L49" s="16"/>
      <c r="M49" s="16"/>
      <c r="N49" s="16"/>
    </row>
    <row r="50" spans="1:14" x14ac:dyDescent="0.25">
      <c r="A50" s="28" t="s">
        <v>25</v>
      </c>
      <c r="B50" s="9">
        <f t="shared" ref="B50:I50" si="11">B49*0.02</f>
        <v>12569.76</v>
      </c>
      <c r="C50" s="9">
        <f t="shared" si="11"/>
        <v>14664.720000000001</v>
      </c>
      <c r="D50" s="9">
        <f t="shared" si="11"/>
        <v>28281.96</v>
      </c>
      <c r="E50" s="9">
        <f t="shared" si="11"/>
        <v>32471.88</v>
      </c>
      <c r="F50" s="9">
        <f t="shared" si="11"/>
        <v>37709.279999999999</v>
      </c>
      <c r="G50" s="9">
        <f t="shared" si="11"/>
        <v>47136.6</v>
      </c>
      <c r="H50" s="9">
        <f t="shared" si="11"/>
        <v>37709.279999999999</v>
      </c>
      <c r="I50" s="9">
        <f t="shared" si="11"/>
        <v>47136.6</v>
      </c>
      <c r="J50" s="16"/>
      <c r="K50" s="16"/>
      <c r="L50" s="16"/>
      <c r="M50" s="16"/>
      <c r="N50" s="16"/>
    </row>
    <row r="51" spans="1:14" x14ac:dyDescent="0.25">
      <c r="A51" s="28" t="s">
        <v>26</v>
      </c>
      <c r="B51" s="9">
        <f t="shared" ref="B51:I51" si="12">B50*0.1</f>
        <v>1256.9760000000001</v>
      </c>
      <c r="C51" s="9">
        <f t="shared" si="12"/>
        <v>1466.4720000000002</v>
      </c>
      <c r="D51" s="9">
        <f t="shared" si="12"/>
        <v>2828.1959999999999</v>
      </c>
      <c r="E51" s="9">
        <f t="shared" si="12"/>
        <v>3247.1880000000001</v>
      </c>
      <c r="F51" s="9">
        <f t="shared" si="12"/>
        <v>3770.9279999999999</v>
      </c>
      <c r="G51" s="9">
        <f t="shared" si="12"/>
        <v>4713.66</v>
      </c>
      <c r="H51" s="9">
        <f t="shared" si="12"/>
        <v>3770.9279999999999</v>
      </c>
      <c r="I51" s="9">
        <f t="shared" si="12"/>
        <v>4713.66</v>
      </c>
      <c r="J51" s="16"/>
      <c r="K51" s="16"/>
      <c r="L51" s="16"/>
      <c r="M51" s="16"/>
      <c r="N51" s="16"/>
    </row>
    <row r="52" spans="1:14" x14ac:dyDescent="0.25">
      <c r="A52" s="28" t="s">
        <v>27</v>
      </c>
      <c r="B52" s="10">
        <f t="shared" ref="B52:I52" si="13">SUM(B50:B51)</f>
        <v>13826.736000000001</v>
      </c>
      <c r="C52" s="10">
        <f t="shared" si="13"/>
        <v>16131.192000000001</v>
      </c>
      <c r="D52" s="10">
        <f t="shared" si="13"/>
        <v>31110.155999999999</v>
      </c>
      <c r="E52" s="10">
        <f t="shared" si="13"/>
        <v>35719.067999999999</v>
      </c>
      <c r="F52" s="10">
        <f t="shared" si="13"/>
        <v>41480.207999999999</v>
      </c>
      <c r="G52" s="10">
        <f t="shared" si="13"/>
        <v>51850.259999999995</v>
      </c>
      <c r="H52" s="10">
        <f t="shared" si="13"/>
        <v>41480.207999999999</v>
      </c>
      <c r="I52" s="10">
        <f t="shared" si="13"/>
        <v>51850.259999999995</v>
      </c>
    </row>
    <row r="53" spans="1:14" x14ac:dyDescent="0.25">
      <c r="A53" s="20"/>
      <c r="B53" s="12"/>
      <c r="C53" s="12"/>
      <c r="D53" s="12"/>
      <c r="E53" s="12"/>
      <c r="F53" s="12"/>
      <c r="G53" s="12"/>
      <c r="H53" s="12"/>
      <c r="I53" s="12"/>
    </row>
    <row r="54" spans="1:14" ht="21" customHeight="1" x14ac:dyDescent="0.25">
      <c r="A54" s="33" t="s">
        <v>57</v>
      </c>
      <c r="B54" s="41" t="s">
        <v>51</v>
      </c>
      <c r="C54" s="41"/>
      <c r="D54" s="42" t="s">
        <v>56</v>
      </c>
      <c r="E54" s="43"/>
      <c r="F54" s="44" t="s">
        <v>58</v>
      </c>
      <c r="G54" s="44"/>
      <c r="H54" s="48" t="s">
        <v>68</v>
      </c>
      <c r="I54" s="49"/>
      <c r="J54" s="49"/>
    </row>
  </sheetData>
  <mergeCells count="7">
    <mergeCell ref="A7:J7"/>
    <mergeCell ref="B54:C54"/>
    <mergeCell ref="D54:E54"/>
    <mergeCell ref="F54:G54"/>
    <mergeCell ref="H14:J14"/>
    <mergeCell ref="B13:G13"/>
    <mergeCell ref="H54:J54"/>
  </mergeCells>
  <pageMargins left="0.7" right="0.7" top="0.75" bottom="0.75" header="0.3" footer="0.3"/>
  <pageSetup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Recepcion-2</cp:lastModifiedBy>
  <cp:lastPrinted>2026-01-02T14:24:53Z</cp:lastPrinted>
  <dcterms:created xsi:type="dcterms:W3CDTF">2008-08-22T08:04:07Z</dcterms:created>
  <dcterms:modified xsi:type="dcterms:W3CDTF">2026-01-05T19:28:37Z</dcterms:modified>
</cp:coreProperties>
</file>