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20" yWindow="-120" windowWidth="20730" windowHeight="11040" firstSheet="17" activeTab="17"/>
  </bookViews>
  <sheets>
    <sheet name="17-03-24" sheetId="2" state="hidden" r:id="rId1"/>
    <sheet name="26-03-24" sheetId="3" state="hidden" r:id="rId2"/>
    <sheet name="01-04-24" sheetId="4" state="hidden" r:id="rId3"/>
    <sheet name="04-04-24" sheetId="5" state="hidden" r:id="rId4"/>
    <sheet name="06-04-24" sheetId="6" state="hidden" r:id="rId5"/>
    <sheet name="15-04-24" sheetId="7" state="hidden" r:id="rId6"/>
    <sheet name="22-04-24" sheetId="8" state="hidden" r:id="rId7"/>
    <sheet name="29-04-24" sheetId="9" state="hidden" r:id="rId8"/>
    <sheet name="06-05-24" sheetId="10" state="hidden" r:id="rId9"/>
    <sheet name="13-05-24" sheetId="11" state="hidden" r:id="rId10"/>
    <sheet name="20-05-24 " sheetId="13" state="hidden" r:id="rId11"/>
    <sheet name="27-05-24 " sheetId="12" state="hidden" r:id="rId12"/>
    <sheet name="08-07-24" sheetId="15" state="hidden" r:id="rId13"/>
    <sheet name="08-08-2024" sheetId="16" state="hidden" r:id="rId14"/>
    <sheet name="08-09-2024" sheetId="17" state="hidden" r:id="rId15"/>
    <sheet name="Sep-2024" sheetId="18" state="hidden" r:id="rId16"/>
    <sheet name="Sheet1" sheetId="19" state="hidden" r:id="rId17"/>
    <sheet name="Upto 31.03.2026" sheetId="26" r:id="rId18"/>
    <sheet name="Sheet4" sheetId="29" r:id="rId19"/>
    <sheet name="Sheet2" sheetId="28" state="hidden" r:id="rId20"/>
    <sheet name="Sep-2025" sheetId="27" state="hidden" r:id="rId21"/>
    <sheet name="Upto 30.06.2025" sheetId="25" state="hidden" r:id="rId22"/>
    <sheet name="Upto 31.05.2025" sheetId="24" state="hidden" r:id="rId23"/>
    <sheet name="Upto 30.04.2025" sheetId="23" state="hidden" r:id="rId24"/>
    <sheet name="Upto 31.03.2025" sheetId="22" state="hidden" r:id="rId25"/>
    <sheet name="Upto 31.01.2025" sheetId="20" state="hidden" r:id="rId26"/>
    <sheet name="Sheet3" sheetId="21" state="hidden" r:id="rId27"/>
  </sheets>
  <externalReferences>
    <externalReference r:id="rId28"/>
    <externalReference r:id="rId29"/>
  </externalReferences>
  <definedNames>
    <definedName name="_xlnm.Print_Area" localSheetId="3">'04-04-24'!$B$1:$G$13</definedName>
    <definedName name="_xlnm.Print_Area" localSheetId="4">'06-04-24'!$B$1:$G$13</definedName>
    <definedName name="_xlnm.Print_Area" localSheetId="8">'06-05-24'!$B$1:$G$22</definedName>
    <definedName name="_xlnm.Print_Area" localSheetId="12">'08-07-24'!$B$3:$G$30</definedName>
    <definedName name="_xlnm.Print_Area" localSheetId="13">'08-08-2024'!$B$3:$G$49</definedName>
    <definedName name="_xlnm.Print_Area" localSheetId="14">'08-09-2024'!$B$3:$G$53</definedName>
    <definedName name="_xlnm.Print_Area" localSheetId="9">'13-05-24'!$B$1:$G$24</definedName>
    <definedName name="_xlnm.Print_Area" localSheetId="5">'15-04-24'!$B$1:$G$15</definedName>
    <definedName name="_xlnm.Print_Area" localSheetId="10">'20-05-24 '!$B$3:$G$27</definedName>
    <definedName name="_xlnm.Print_Area" localSheetId="6">'22-04-24'!$B$1:$G$20</definedName>
    <definedName name="_xlnm.Print_Area" localSheetId="11">'27-05-24 '!$B$3:$G$27</definedName>
    <definedName name="_xlnm.Print_Area" localSheetId="7">'29-04-24'!$B$1:$G$21</definedName>
    <definedName name="_xlnm.Print_Area" localSheetId="15">'Sep-2024'!$B$1:$G$63</definedName>
    <definedName name="_xlnm.Print_Area" localSheetId="20">'Sep-2025'!$A$1:$G$92</definedName>
    <definedName name="_xlnm.Print_Area" localSheetId="16">Sheet1!$B$1:$G$64</definedName>
    <definedName name="_xlnm.Print_Area" localSheetId="23">'Upto 30.04.2025'!$B$1:$G$82</definedName>
    <definedName name="_xlnm.Print_Area" localSheetId="21">'Upto 30.06.2025'!$B$1:$G$83</definedName>
    <definedName name="_xlnm.Print_Area" localSheetId="25">'Upto 31.01.2025'!$B$1:$G$82</definedName>
    <definedName name="_xlnm.Print_Area" localSheetId="24">'Upto 31.03.2025'!$B$1:$G$82</definedName>
    <definedName name="_xlnm.Print_Area" localSheetId="17">'Upto 31.03.2026'!$B$1:$G$94</definedName>
  </definedNames>
  <calcPr calcId="12451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6" i="26"/>
  <c r="D70"/>
  <c r="D75"/>
  <c r="D54" l="1"/>
  <c r="D50"/>
  <c r="D74"/>
  <c r="D48"/>
  <c r="D68"/>
  <c r="D69"/>
  <c r="D64"/>
  <c r="D44"/>
  <c r="D47"/>
  <c r="D18"/>
  <c r="D15"/>
  <c r="D22"/>
  <c r="D17"/>
  <c r="D14" l="1"/>
  <c r="D13"/>
  <c r="D10"/>
  <c r="D11"/>
  <c r="D7"/>
  <c r="D6" l="1"/>
  <c r="D87" l="1"/>
  <c r="D21" l="1"/>
  <c r="D20"/>
  <c r="R84"/>
  <c r="Q84"/>
  <c r="D24" l="1"/>
  <c r="F107" l="1"/>
  <c r="Q100"/>
  <c r="G24" l="1"/>
  <c r="D36"/>
  <c r="D67" l="1"/>
  <c r="D38"/>
  <c r="D61"/>
  <c r="D45"/>
  <c r="D35"/>
  <c r="D33"/>
  <c r="D34"/>
  <c r="G38" l="1"/>
  <c r="G36"/>
  <c r="G34"/>
  <c r="G33"/>
  <c r="D28"/>
  <c r="D27"/>
  <c r="G27" s="1"/>
  <c r="G4" l="1"/>
  <c r="Q89" l="1"/>
  <c r="G85"/>
  <c r="D86" l="1"/>
  <c r="H4" i="29"/>
  <c r="G86" i="26" l="1"/>
  <c r="D73"/>
  <c r="D29" l="1"/>
  <c r="R23"/>
  <c r="G29" l="1"/>
  <c r="S81"/>
  <c r="G30"/>
  <c r="X31"/>
  <c r="X30"/>
  <c r="X29"/>
  <c r="AA27"/>
  <c r="Q29"/>
  <c r="B28"/>
  <c r="B29" s="1"/>
  <c r="B30" s="1"/>
  <c r="P28"/>
  <c r="N28"/>
  <c r="N27"/>
  <c r="G28" l="1"/>
  <c r="D41"/>
  <c r="G41" s="1"/>
  <c r="B21"/>
  <c r="B22" s="1"/>
  <c r="B23" s="1"/>
  <c r="B24" s="1"/>
  <c r="R34"/>
  <c r="U24"/>
  <c r="Q24"/>
  <c r="R37" l="1"/>
  <c r="D23"/>
  <c r="G23" s="1"/>
  <c r="R10"/>
  <c r="T10" s="1"/>
  <c r="R9"/>
  <c r="T9" s="1"/>
  <c r="D82" l="1"/>
  <c r="D57"/>
  <c r="G57" l="1"/>
  <c r="D88" l="1"/>
  <c r="P14"/>
  <c r="O7"/>
  <c r="G92"/>
  <c r="D58" l="1"/>
  <c r="D42"/>
  <c r="G42" s="1"/>
  <c r="H47" l="1"/>
  <c r="H42"/>
  <c r="N35" l="1"/>
  <c r="N34"/>
  <c r="N22" l="1"/>
  <c r="N21"/>
  <c r="N20"/>
  <c r="N18"/>
  <c r="N17" l="1"/>
  <c r="N15"/>
  <c r="N14"/>
  <c r="N13" l="1"/>
  <c r="G83" l="1"/>
  <c r="H83"/>
  <c r="G75" i="28" l="1"/>
  <c r="I75"/>
  <c r="R153"/>
  <c r="O150"/>
  <c r="O149"/>
  <c r="O148"/>
  <c r="O147"/>
  <c r="O146"/>
  <c r="O145"/>
  <c r="O144"/>
  <c r="O143"/>
  <c r="O142"/>
  <c r="O141"/>
  <c r="O140"/>
  <c r="O139"/>
  <c r="O138"/>
  <c r="V137"/>
  <c r="O137"/>
  <c r="V136"/>
  <c r="O136"/>
  <c r="M133"/>
  <c r="M153" s="1"/>
  <c r="N132"/>
  <c r="N131"/>
  <c r="K130"/>
  <c r="L127"/>
  <c r="G126"/>
  <c r="N126" s="1"/>
  <c r="F126"/>
  <c r="E126"/>
  <c r="K126" s="1"/>
  <c r="L123"/>
  <c r="K123"/>
  <c r="L122"/>
  <c r="K122"/>
  <c r="L121"/>
  <c r="K121"/>
  <c r="L120"/>
  <c r="K120"/>
  <c r="K117"/>
  <c r="I117"/>
  <c r="N117" s="1"/>
  <c r="N116"/>
  <c r="K116"/>
  <c r="K115"/>
  <c r="I115"/>
  <c r="N115" s="1"/>
  <c r="N114"/>
  <c r="K114"/>
  <c r="N113"/>
  <c r="K113"/>
  <c r="I112"/>
  <c r="G112"/>
  <c r="F112"/>
  <c r="E112"/>
  <c r="K112" s="1"/>
  <c r="I111"/>
  <c r="G111"/>
  <c r="F111"/>
  <c r="E111"/>
  <c r="K111" s="1"/>
  <c r="K110"/>
  <c r="I110"/>
  <c r="N110" s="1"/>
  <c r="N109"/>
  <c r="K109"/>
  <c r="I109"/>
  <c r="I108"/>
  <c r="G108"/>
  <c r="F108"/>
  <c r="E108"/>
  <c r="K108" s="1"/>
  <c r="I107"/>
  <c r="G107"/>
  <c r="F107"/>
  <c r="E107"/>
  <c r="K107" s="1"/>
  <c r="N106"/>
  <c r="K106"/>
  <c r="I105"/>
  <c r="G105"/>
  <c r="F105"/>
  <c r="N105" s="1"/>
  <c r="E105"/>
  <c r="K105" s="1"/>
  <c r="N104"/>
  <c r="K104"/>
  <c r="I103"/>
  <c r="G103"/>
  <c r="F103"/>
  <c r="E103"/>
  <c r="K103" s="1"/>
  <c r="I102"/>
  <c r="G102"/>
  <c r="F102"/>
  <c r="E102"/>
  <c r="K102" s="1"/>
  <c r="K101"/>
  <c r="I101"/>
  <c r="N101" s="1"/>
  <c r="N100"/>
  <c r="K100"/>
  <c r="N99"/>
  <c r="K99"/>
  <c r="I98"/>
  <c r="G98"/>
  <c r="F98"/>
  <c r="E98"/>
  <c r="K98" s="1"/>
  <c r="I97"/>
  <c r="G97"/>
  <c r="F97"/>
  <c r="N97" s="1"/>
  <c r="E97"/>
  <c r="K97" s="1"/>
  <c r="I96"/>
  <c r="G96"/>
  <c r="F96"/>
  <c r="E96"/>
  <c r="K96" s="1"/>
  <c r="I95"/>
  <c r="G95"/>
  <c r="F95"/>
  <c r="N95" s="1"/>
  <c r="E95"/>
  <c r="K95" s="1"/>
  <c r="N94"/>
  <c r="K94"/>
  <c r="N93"/>
  <c r="K93"/>
  <c r="N92"/>
  <c r="K92"/>
  <c r="N91"/>
  <c r="K91"/>
  <c r="I90"/>
  <c r="G90"/>
  <c r="F90"/>
  <c r="E90"/>
  <c r="K90" s="1"/>
  <c r="N89"/>
  <c r="K89"/>
  <c r="N88"/>
  <c r="K88"/>
  <c r="I87"/>
  <c r="G87"/>
  <c r="F87"/>
  <c r="E87"/>
  <c r="K87" s="1"/>
  <c r="I86"/>
  <c r="G86"/>
  <c r="F86"/>
  <c r="N86" s="1"/>
  <c r="E86"/>
  <c r="K86" s="1"/>
  <c r="N85"/>
  <c r="K85"/>
  <c r="I84"/>
  <c r="G84"/>
  <c r="F84"/>
  <c r="E84"/>
  <c r="K84" s="1"/>
  <c r="I83"/>
  <c r="G83"/>
  <c r="F83"/>
  <c r="E83"/>
  <c r="K83" s="1"/>
  <c r="I82"/>
  <c r="G82"/>
  <c r="F82"/>
  <c r="E82"/>
  <c r="K82" s="1"/>
  <c r="N81"/>
  <c r="K81"/>
  <c r="N80"/>
  <c r="K80"/>
  <c r="K79"/>
  <c r="I79"/>
  <c r="N79" s="1"/>
  <c r="N78"/>
  <c r="K78"/>
  <c r="I77"/>
  <c r="G77"/>
  <c r="F77"/>
  <c r="E77"/>
  <c r="K77" s="1"/>
  <c r="I76"/>
  <c r="G76"/>
  <c r="F76"/>
  <c r="E76"/>
  <c r="K76" s="1"/>
  <c r="F75"/>
  <c r="N75" s="1"/>
  <c r="E75"/>
  <c r="K75" s="1"/>
  <c r="L71"/>
  <c r="K71"/>
  <c r="L70"/>
  <c r="K70"/>
  <c r="N69"/>
  <c r="K69"/>
  <c r="L68"/>
  <c r="K68"/>
  <c r="L67"/>
  <c r="K67"/>
  <c r="L66"/>
  <c r="K66"/>
  <c r="L65"/>
  <c r="K65"/>
  <c r="L64"/>
  <c r="K64"/>
  <c r="L63"/>
  <c r="K63"/>
  <c r="L62"/>
  <c r="K62"/>
  <c r="L61"/>
  <c r="K61"/>
  <c r="L60"/>
  <c r="K60"/>
  <c r="L59"/>
  <c r="K59"/>
  <c r="L58"/>
  <c r="K58"/>
  <c r="L57"/>
  <c r="K57"/>
  <c r="A56"/>
  <c r="A73" s="1"/>
  <c r="A119" s="1"/>
  <c r="A125" s="1"/>
  <c r="A129" s="1"/>
  <c r="A135" s="1"/>
  <c r="N52"/>
  <c r="N51"/>
  <c r="G50"/>
  <c r="N50" s="1"/>
  <c r="G49"/>
  <c r="N49" s="1"/>
  <c r="F47"/>
  <c r="N47" s="1"/>
  <c r="E47"/>
  <c r="K47" s="1"/>
  <c r="K46"/>
  <c r="F46"/>
  <c r="N46" s="1"/>
  <c r="E46"/>
  <c r="F45"/>
  <c r="N45" s="1"/>
  <c r="E45"/>
  <c r="K45" s="1"/>
  <c r="F44"/>
  <c r="N44" s="1"/>
  <c r="E44"/>
  <c r="K44" s="1"/>
  <c r="F43"/>
  <c r="N43" s="1"/>
  <c r="E43"/>
  <c r="K43" s="1"/>
  <c r="F42"/>
  <c r="N42" s="1"/>
  <c r="E42"/>
  <c r="K42" s="1"/>
  <c r="F41"/>
  <c r="N41" s="1"/>
  <c r="E41"/>
  <c r="K41" s="1"/>
  <c r="F40"/>
  <c r="N40" s="1"/>
  <c r="E40"/>
  <c r="K40" s="1"/>
  <c r="F39"/>
  <c r="N39" s="1"/>
  <c r="E39"/>
  <c r="K39" s="1"/>
  <c r="K38"/>
  <c r="F38"/>
  <c r="N38" s="1"/>
  <c r="E38"/>
  <c r="A37"/>
  <c r="O34"/>
  <c r="I34"/>
  <c r="P34" s="1"/>
  <c r="I32"/>
  <c r="Q32" s="1"/>
  <c r="I31"/>
  <c r="Q31" s="1"/>
  <c r="I30"/>
  <c r="Q30" s="1"/>
  <c r="I29"/>
  <c r="Q29" s="1"/>
  <c r="I28"/>
  <c r="Q28" s="1"/>
  <c r="I27"/>
  <c r="O27" s="1"/>
  <c r="I26"/>
  <c r="Q26" s="1"/>
  <c r="P24"/>
  <c r="P23"/>
  <c r="P22"/>
  <c r="P21"/>
  <c r="O19"/>
  <c r="K19"/>
  <c r="O18"/>
  <c r="K18"/>
  <c r="O17"/>
  <c r="K17"/>
  <c r="O16"/>
  <c r="K16"/>
  <c r="O15"/>
  <c r="K15"/>
  <c r="O14"/>
  <c r="K14"/>
  <c r="O13"/>
  <c r="K13"/>
  <c r="O12"/>
  <c r="K12"/>
  <c r="O11"/>
  <c r="K11"/>
  <c r="O10"/>
  <c r="K10"/>
  <c r="O9"/>
  <c r="K9"/>
  <c r="O8"/>
  <c r="K8"/>
  <c r="O7"/>
  <c r="K7"/>
  <c r="A1"/>
  <c r="N77" l="1"/>
  <c r="N83"/>
  <c r="N102"/>
  <c r="N107"/>
  <c r="K118"/>
  <c r="N112"/>
  <c r="N87"/>
  <c r="L153"/>
  <c r="N76"/>
  <c r="N82"/>
  <c r="N84"/>
  <c r="N103"/>
  <c r="N108"/>
  <c r="P153"/>
  <c r="N111"/>
  <c r="N90"/>
  <c r="N118" s="1"/>
  <c r="N153" s="1"/>
  <c r="N96"/>
  <c r="N98"/>
  <c r="K153"/>
  <c r="O153"/>
  <c r="Q153"/>
  <c r="U153" l="1"/>
  <c r="V153" s="1"/>
  <c r="G86" i="27" l="1"/>
  <c r="O85"/>
  <c r="G85"/>
  <c r="G84"/>
  <c r="G83"/>
  <c r="G82"/>
  <c r="B82"/>
  <c r="B83" s="1"/>
  <c r="B84" s="1"/>
  <c r="B85" s="1"/>
  <c r="B86" s="1"/>
  <c r="G81"/>
  <c r="B81"/>
  <c r="G80"/>
  <c r="G79"/>
  <c r="L78"/>
  <c r="H78"/>
  <c r="G78"/>
  <c r="B78"/>
  <c r="B79" s="1"/>
  <c r="G77"/>
  <c r="G76"/>
  <c r="G75"/>
  <c r="N74"/>
  <c r="D73"/>
  <c r="G73" s="1"/>
  <c r="K72"/>
  <c r="D72"/>
  <c r="G72" s="1"/>
  <c r="G71"/>
  <c r="D71"/>
  <c r="D70"/>
  <c r="G70" s="1"/>
  <c r="K67"/>
  <c r="F67"/>
  <c r="D67"/>
  <c r="G67" s="1"/>
  <c r="K66"/>
  <c r="G66"/>
  <c r="K65"/>
  <c r="G65"/>
  <c r="K64"/>
  <c r="G64"/>
  <c r="K63"/>
  <c r="G63"/>
  <c r="K62"/>
  <c r="K61"/>
  <c r="G61"/>
  <c r="K60"/>
  <c r="G60"/>
  <c r="K59"/>
  <c r="K58"/>
  <c r="D58"/>
  <c r="G58" s="1"/>
  <c r="K57"/>
  <c r="G57"/>
  <c r="K56"/>
  <c r="K55"/>
  <c r="G55"/>
  <c r="K54"/>
  <c r="G54"/>
  <c r="K53"/>
  <c r="K52"/>
  <c r="K51"/>
  <c r="D51"/>
  <c r="G51" s="1"/>
  <c r="K50"/>
  <c r="G50"/>
  <c r="K49"/>
  <c r="G49"/>
  <c r="K48"/>
  <c r="G48"/>
  <c r="K47"/>
  <c r="G47"/>
  <c r="D47"/>
  <c r="G45"/>
  <c r="D44"/>
  <c r="G44" s="1"/>
  <c r="G42"/>
  <c r="D41"/>
  <c r="G41" s="1"/>
  <c r="G39"/>
  <c r="D39"/>
  <c r="D38"/>
  <c r="G38" s="1"/>
  <c r="K34"/>
  <c r="D34"/>
  <c r="G34" s="1"/>
  <c r="D32"/>
  <c r="G32" s="1"/>
  <c r="D31"/>
  <c r="G31" s="1"/>
  <c r="D30"/>
  <c r="G30" s="1"/>
  <c r="D29"/>
  <c r="G29" s="1"/>
  <c r="D26"/>
  <c r="G26" s="1"/>
  <c r="G25"/>
  <c r="G24"/>
  <c r="G22"/>
  <c r="G21"/>
  <c r="G20"/>
  <c r="G19"/>
  <c r="D18"/>
  <c r="G18" s="1"/>
  <c r="D17"/>
  <c r="G17" s="1"/>
  <c r="D15"/>
  <c r="G15" s="1"/>
  <c r="D14"/>
  <c r="G14" s="1"/>
  <c r="H11"/>
  <c r="D11"/>
  <c r="G11" s="1"/>
  <c r="D10"/>
  <c r="G10" s="1"/>
  <c r="G8"/>
  <c r="G7"/>
  <c r="G6"/>
  <c r="G5"/>
  <c r="D4"/>
  <c r="G4" s="1"/>
  <c r="L71" l="1"/>
  <c r="M71" s="1"/>
  <c r="G87"/>
  <c r="F87" s="1"/>
  <c r="F90" s="1"/>
  <c r="G15" i="26" l="1"/>
  <c r="G91" l="1"/>
  <c r="G90"/>
  <c r="G89"/>
  <c r="G88"/>
  <c r="G87"/>
  <c r="G84"/>
  <c r="B84"/>
  <c r="B85" s="1"/>
  <c r="B86" s="1"/>
  <c r="B87" s="1"/>
  <c r="G82"/>
  <c r="G81"/>
  <c r="B81"/>
  <c r="B82" s="1"/>
  <c r="B88" l="1"/>
  <c r="B89" s="1"/>
  <c r="B90" s="1"/>
  <c r="B91" s="1"/>
  <c r="G17"/>
  <c r="G18" l="1"/>
  <c r="G79" l="1"/>
  <c r="G16"/>
  <c r="G13"/>
  <c r="G6"/>
  <c r="G80"/>
  <c r="G78"/>
  <c r="G76"/>
  <c r="G75"/>
  <c r="G73"/>
  <c r="F70"/>
  <c r="G70" s="1"/>
  <c r="G69"/>
  <c r="G68"/>
  <c r="G67"/>
  <c r="G66"/>
  <c r="G64"/>
  <c r="G63"/>
  <c r="G61"/>
  <c r="G60"/>
  <c r="G58"/>
  <c r="G54"/>
  <c r="G53"/>
  <c r="G52"/>
  <c r="G51"/>
  <c r="G50"/>
  <c r="G48"/>
  <c r="G47"/>
  <c r="G45"/>
  <c r="G44"/>
  <c r="G35"/>
  <c r="G22"/>
  <c r="G21"/>
  <c r="G20"/>
  <c r="G14"/>
  <c r="G11"/>
  <c r="G10"/>
  <c r="G7"/>
  <c r="O43" l="1"/>
  <c r="G74"/>
  <c r="G93" s="1"/>
  <c r="E83" i="25"/>
  <c r="F93" i="26" l="1"/>
  <c r="G102" s="1"/>
  <c r="D65" i="25"/>
  <c r="D75"/>
  <c r="D74"/>
  <c r="D63"/>
  <c r="D49"/>
  <c r="D42"/>
  <c r="D37"/>
  <c r="D33"/>
  <c r="D31"/>
  <c r="D29"/>
  <c r="Q104" i="26" l="1"/>
  <c r="F101"/>
  <c r="F96"/>
  <c r="D24" i="25"/>
  <c r="D23"/>
  <c r="D21"/>
  <c r="D20"/>
  <c r="D19"/>
  <c r="D18"/>
  <c r="D17"/>
  <c r="D15"/>
  <c r="D14"/>
  <c r="D11"/>
  <c r="D10"/>
  <c r="D4"/>
  <c r="G79" l="1"/>
  <c r="G78"/>
  <c r="G77"/>
  <c r="N76"/>
  <c r="G75"/>
  <c r="K74"/>
  <c r="G74"/>
  <c r="D73"/>
  <c r="L73" s="1"/>
  <c r="M73" s="1"/>
  <c r="D72"/>
  <c r="G72" s="1"/>
  <c r="G68"/>
  <c r="F65"/>
  <c r="G65"/>
  <c r="D64"/>
  <c r="G64" s="1"/>
  <c r="G63"/>
  <c r="D62"/>
  <c r="G62" s="1"/>
  <c r="G61"/>
  <c r="D59"/>
  <c r="G59" s="1"/>
  <c r="K58"/>
  <c r="G58"/>
  <c r="D56"/>
  <c r="G56" s="1"/>
  <c r="G55"/>
  <c r="K53"/>
  <c r="D53"/>
  <c r="G53" s="1"/>
  <c r="N52"/>
  <c r="D52"/>
  <c r="G52" s="1"/>
  <c r="G49"/>
  <c r="K48"/>
  <c r="G48"/>
  <c r="G47"/>
  <c r="K46"/>
  <c r="G46"/>
  <c r="K45"/>
  <c r="D45"/>
  <c r="G45" s="1"/>
  <c r="K43"/>
  <c r="G43"/>
  <c r="K42"/>
  <c r="G42"/>
  <c r="K40"/>
  <c r="H40"/>
  <c r="G40"/>
  <c r="N39"/>
  <c r="K39"/>
  <c r="H39"/>
  <c r="D39"/>
  <c r="G39" s="1"/>
  <c r="K37"/>
  <c r="G37"/>
  <c r="D36"/>
  <c r="G36" s="1"/>
  <c r="K33"/>
  <c r="G33"/>
  <c r="G31"/>
  <c r="N30"/>
  <c r="K30"/>
  <c r="D30"/>
  <c r="G30" s="1"/>
  <c r="K29"/>
  <c r="G29"/>
  <c r="D28"/>
  <c r="G28" s="1"/>
  <c r="D25"/>
  <c r="G25" s="1"/>
  <c r="G24"/>
  <c r="G23"/>
  <c r="G20"/>
  <c r="G19"/>
  <c r="I18"/>
  <c r="G18"/>
  <c r="G17"/>
  <c r="N17"/>
  <c r="G15"/>
  <c r="G14"/>
  <c r="G11"/>
  <c r="G10"/>
  <c r="G8"/>
  <c r="G7"/>
  <c r="G6"/>
  <c r="G5"/>
  <c r="G4"/>
  <c r="O39" l="1"/>
  <c r="N55"/>
  <c r="M37"/>
  <c r="M38" s="1"/>
  <c r="G73"/>
  <c r="G82"/>
  <c r="E82" s="1"/>
  <c r="N48"/>
  <c r="D74" i="24"/>
  <c r="D73"/>
  <c r="D62"/>
  <c r="D45" l="1"/>
  <c r="D42"/>
  <c r="D33"/>
  <c r="D30"/>
  <c r="D29" l="1"/>
  <c r="D28"/>
  <c r="D65" l="1"/>
  <c r="D75"/>
  <c r="D31"/>
  <c r="D25" l="1"/>
  <c r="D24"/>
  <c r="D20"/>
  <c r="D19"/>
  <c r="D18"/>
  <c r="D17"/>
  <c r="D14"/>
  <c r="D15"/>
  <c r="D10"/>
  <c r="D11"/>
  <c r="G79" l="1"/>
  <c r="G78"/>
  <c r="G77"/>
  <c r="N76"/>
  <c r="G75"/>
  <c r="K74"/>
  <c r="G74"/>
  <c r="G73"/>
  <c r="L73"/>
  <c r="M73" s="1"/>
  <c r="D72"/>
  <c r="G72" s="1"/>
  <c r="G68"/>
  <c r="F65"/>
  <c r="G65" s="1"/>
  <c r="D64"/>
  <c r="G64" s="1"/>
  <c r="G63"/>
  <c r="G62"/>
  <c r="G61"/>
  <c r="D59"/>
  <c r="G59" s="1"/>
  <c r="K58"/>
  <c r="G58"/>
  <c r="D56"/>
  <c r="G56" s="1"/>
  <c r="G55"/>
  <c r="K53"/>
  <c r="D53"/>
  <c r="G53" s="1"/>
  <c r="N52"/>
  <c r="D52"/>
  <c r="G52" s="1"/>
  <c r="D49"/>
  <c r="G49" s="1"/>
  <c r="K48"/>
  <c r="G48"/>
  <c r="G47"/>
  <c r="K46"/>
  <c r="G46"/>
  <c r="K45"/>
  <c r="G45"/>
  <c r="K43"/>
  <c r="G43"/>
  <c r="K42"/>
  <c r="G42"/>
  <c r="K40"/>
  <c r="H40"/>
  <c r="G40"/>
  <c r="N39"/>
  <c r="K39"/>
  <c r="H39"/>
  <c r="D39"/>
  <c r="K37"/>
  <c r="D37"/>
  <c r="D36"/>
  <c r="G36" s="1"/>
  <c r="K33"/>
  <c r="G33"/>
  <c r="G31"/>
  <c r="N30"/>
  <c r="K30"/>
  <c r="G30"/>
  <c r="K29"/>
  <c r="G29"/>
  <c r="G28"/>
  <c r="G25"/>
  <c r="G24"/>
  <c r="D23"/>
  <c r="G23" s="1"/>
  <c r="G20"/>
  <c r="G19"/>
  <c r="I18"/>
  <c r="G18"/>
  <c r="G17"/>
  <c r="G15"/>
  <c r="G14"/>
  <c r="G11"/>
  <c r="G10"/>
  <c r="G8"/>
  <c r="G7"/>
  <c r="G6"/>
  <c r="G5"/>
  <c r="D4"/>
  <c r="G4" s="1"/>
  <c r="N48" l="1"/>
  <c r="O39"/>
  <c r="G39"/>
  <c r="M37"/>
  <c r="M38" s="1"/>
  <c r="N17"/>
  <c r="G37"/>
  <c r="N55"/>
  <c r="D32" i="23"/>
  <c r="D11"/>
  <c r="D10"/>
  <c r="D74"/>
  <c r="D73"/>
  <c r="D72"/>
  <c r="D71"/>
  <c r="D64"/>
  <c r="D63"/>
  <c r="D48"/>
  <c r="D44"/>
  <c r="D38"/>
  <c r="D30"/>
  <c r="D29"/>
  <c r="D28"/>
  <c r="D27"/>
  <c r="D24"/>
  <c r="D20"/>
  <c r="D19"/>
  <c r="D18"/>
  <c r="D17"/>
  <c r="D15"/>
  <c r="D14"/>
  <c r="G82" i="24" l="1"/>
  <c r="E82" s="1"/>
  <c r="G78" i="23"/>
  <c r="G77"/>
  <c r="G76"/>
  <c r="N75"/>
  <c r="G74"/>
  <c r="K73"/>
  <c r="G73"/>
  <c r="G72"/>
  <c r="L72"/>
  <c r="M72" s="1"/>
  <c r="G71"/>
  <c r="G67"/>
  <c r="F64"/>
  <c r="G64" s="1"/>
  <c r="G63"/>
  <c r="G62"/>
  <c r="G61"/>
  <c r="G60"/>
  <c r="D58"/>
  <c r="G58" s="1"/>
  <c r="K57"/>
  <c r="G57"/>
  <c r="D55"/>
  <c r="G55" s="1"/>
  <c r="G54"/>
  <c r="K52"/>
  <c r="D52"/>
  <c r="G52" s="1"/>
  <c r="N51"/>
  <c r="D51"/>
  <c r="G51" s="1"/>
  <c r="G48"/>
  <c r="K47"/>
  <c r="G47"/>
  <c r="G46"/>
  <c r="K45"/>
  <c r="G45"/>
  <c r="K44"/>
  <c r="G44"/>
  <c r="K42"/>
  <c r="G42"/>
  <c r="K41"/>
  <c r="D41"/>
  <c r="G41" s="1"/>
  <c r="K39"/>
  <c r="H39"/>
  <c r="G39"/>
  <c r="N38"/>
  <c r="K38"/>
  <c r="H38"/>
  <c r="O38" s="1"/>
  <c r="G38"/>
  <c r="K36"/>
  <c r="D36"/>
  <c r="D35"/>
  <c r="G35" s="1"/>
  <c r="K32"/>
  <c r="G32"/>
  <c r="G30"/>
  <c r="N29"/>
  <c r="K29"/>
  <c r="G29"/>
  <c r="K28"/>
  <c r="G28"/>
  <c r="G27"/>
  <c r="G24"/>
  <c r="D23"/>
  <c r="G23" s="1"/>
  <c r="D22"/>
  <c r="G22" s="1"/>
  <c r="G20"/>
  <c r="G19"/>
  <c r="I18"/>
  <c r="G18"/>
  <c r="G17"/>
  <c r="G15"/>
  <c r="G14"/>
  <c r="G11"/>
  <c r="G10"/>
  <c r="G8"/>
  <c r="G7"/>
  <c r="G6"/>
  <c r="G5"/>
  <c r="D4"/>
  <c r="G4" s="1"/>
  <c r="N47" l="1"/>
  <c r="M36"/>
  <c r="M37" s="1"/>
  <c r="N17"/>
  <c r="G36"/>
  <c r="G81" s="1"/>
  <c r="E81" s="1"/>
  <c r="N54"/>
  <c r="D10" i="22"/>
  <c r="D51"/>
  <c r="N51"/>
  <c r="D63"/>
  <c r="D73"/>
  <c r="D32"/>
  <c r="D44" l="1"/>
  <c r="D41"/>
  <c r="D38"/>
  <c r="D29" l="1"/>
  <c r="D28"/>
  <c r="N29"/>
  <c r="D24" l="1"/>
  <c r="D23"/>
  <c r="D22"/>
  <c r="D20"/>
  <c r="D19"/>
  <c r="D18"/>
  <c r="D15"/>
  <c r="D17"/>
  <c r="D14"/>
  <c r="D11"/>
  <c r="D74" l="1"/>
  <c r="D64"/>
  <c r="D48"/>
  <c r="D30"/>
  <c r="D58"/>
  <c r="D72"/>
  <c r="D71"/>
  <c r="D27" l="1"/>
  <c r="L15" i="21"/>
  <c r="L16" s="1"/>
  <c r="J15"/>
  <c r="M10"/>
  <c r="M11" s="1"/>
  <c r="M12" s="1"/>
  <c r="I12" l="1"/>
  <c r="H12"/>
  <c r="I8"/>
  <c r="H8"/>
  <c r="D4" i="22"/>
  <c r="G78" l="1"/>
  <c r="G77"/>
  <c r="G76"/>
  <c r="N75"/>
  <c r="G74"/>
  <c r="K73"/>
  <c r="G73"/>
  <c r="G72"/>
  <c r="G71"/>
  <c r="G67"/>
  <c r="F64"/>
  <c r="G64" s="1"/>
  <c r="G63"/>
  <c r="G62"/>
  <c r="G61"/>
  <c r="G60"/>
  <c r="G58"/>
  <c r="K57"/>
  <c r="G57"/>
  <c r="D55"/>
  <c r="G55" s="1"/>
  <c r="N54"/>
  <c r="G54"/>
  <c r="K52"/>
  <c r="D52"/>
  <c r="G52" s="1"/>
  <c r="G51"/>
  <c r="G48"/>
  <c r="K47"/>
  <c r="G47"/>
  <c r="G46"/>
  <c r="K45"/>
  <c r="G45"/>
  <c r="K44"/>
  <c r="G44"/>
  <c r="K42"/>
  <c r="G42"/>
  <c r="K41"/>
  <c r="G41"/>
  <c r="K39"/>
  <c r="H39"/>
  <c r="G39"/>
  <c r="N38"/>
  <c r="K38"/>
  <c r="H38"/>
  <c r="G38"/>
  <c r="K36"/>
  <c r="D36"/>
  <c r="M36" s="1"/>
  <c r="M37" s="1"/>
  <c r="D35"/>
  <c r="G35" s="1"/>
  <c r="K32"/>
  <c r="G32"/>
  <c r="G30"/>
  <c r="K29"/>
  <c r="G29"/>
  <c r="K28"/>
  <c r="G28"/>
  <c r="G27"/>
  <c r="G24"/>
  <c r="G23"/>
  <c r="G22"/>
  <c r="G20"/>
  <c r="G19"/>
  <c r="I18"/>
  <c r="G18"/>
  <c r="G17"/>
  <c r="N17"/>
  <c r="G15"/>
  <c r="G14"/>
  <c r="G11"/>
  <c r="G10"/>
  <c r="G8"/>
  <c r="G7"/>
  <c r="G6"/>
  <c r="G5"/>
  <c r="G4"/>
  <c r="O38" l="1"/>
  <c r="N47"/>
  <c r="L72"/>
  <c r="M72" s="1"/>
  <c r="G36"/>
  <c r="G81" s="1"/>
  <c r="E81" s="1"/>
  <c r="D74" i="20"/>
  <c r="G74" s="1"/>
  <c r="D19"/>
  <c r="G19" s="1"/>
  <c r="D20"/>
  <c r="G20" s="1"/>
  <c r="D18"/>
  <c r="G18" s="1"/>
  <c r="D30"/>
  <c r="G30" s="1"/>
  <c r="D48"/>
  <c r="G48" s="1"/>
  <c r="D51"/>
  <c r="D55"/>
  <c r="G55" s="1"/>
  <c r="D64"/>
  <c r="D67"/>
  <c r="G67" s="1"/>
  <c r="D15"/>
  <c r="G15" s="1"/>
  <c r="D14"/>
  <c r="G14" s="1"/>
  <c r="D11"/>
  <c r="G11" s="1"/>
  <c r="D10"/>
  <c r="D4"/>
  <c r="G76"/>
  <c r="G77"/>
  <c r="G78"/>
  <c r="G73"/>
  <c r="G63"/>
  <c r="G62"/>
  <c r="G61"/>
  <c r="G60"/>
  <c r="G57"/>
  <c r="G54"/>
  <c r="G51"/>
  <c r="G47"/>
  <c r="G46"/>
  <c r="G45"/>
  <c r="G10"/>
  <c r="D38" l="1"/>
  <c r="G38" s="1"/>
  <c r="D36"/>
  <c r="G36" s="1"/>
  <c r="D32"/>
  <c r="G32" s="1"/>
  <c r="D29"/>
  <c r="G29" s="1"/>
  <c r="D28"/>
  <c r="G28" s="1"/>
  <c r="D24"/>
  <c r="G24" s="1"/>
  <c r="D72"/>
  <c r="G72" s="1"/>
  <c r="D71"/>
  <c r="G71" s="1"/>
  <c r="N75"/>
  <c r="D35" l="1"/>
  <c r="G35" s="1"/>
  <c r="D44"/>
  <c r="G44" s="1"/>
  <c r="D41"/>
  <c r="G41" s="1"/>
  <c r="D27" l="1"/>
  <c r="G27" s="1"/>
  <c r="D23"/>
  <c r="G23" s="1"/>
  <c r="D22"/>
  <c r="G22" s="1"/>
  <c r="D58" l="1"/>
  <c r="G58" s="1"/>
  <c r="N54"/>
  <c r="D52" l="1"/>
  <c r="G52" s="1"/>
  <c r="N47" l="1"/>
  <c r="N38"/>
  <c r="H39" l="1"/>
  <c r="H38"/>
  <c r="O38" s="1"/>
  <c r="D17" l="1"/>
  <c r="G17" s="1"/>
  <c r="N17" l="1"/>
  <c r="L72"/>
  <c r="M72" s="1"/>
  <c r="K57"/>
  <c r="K52"/>
  <c r="K45"/>
  <c r="M36"/>
  <c r="M37" s="1"/>
  <c r="K44"/>
  <c r="K42"/>
  <c r="K41"/>
  <c r="K39"/>
  <c r="K38"/>
  <c r="K36"/>
  <c r="K32"/>
  <c r="K29"/>
  <c r="K28"/>
  <c r="K73"/>
  <c r="K47"/>
  <c r="I18" l="1"/>
  <c r="F64" l="1"/>
  <c r="G64" s="1"/>
  <c r="G42"/>
  <c r="G39"/>
  <c r="G8"/>
  <c r="G7"/>
  <c r="G6"/>
  <c r="G5"/>
  <c r="G4"/>
  <c r="D4" i="18"/>
  <c r="D36"/>
  <c r="D39"/>
  <c r="D48"/>
  <c r="D61"/>
  <c r="D50"/>
  <c r="D56"/>
  <c r="D41"/>
  <c r="D24"/>
  <c r="G81" i="20" l="1"/>
  <c r="E81" s="1"/>
  <c r="D60" i="18"/>
  <c r="G55" l="1"/>
  <c r="D59"/>
  <c r="D45"/>
  <c r="D44"/>
  <c r="G40" l="1"/>
  <c r="G39"/>
  <c r="G36"/>
  <c r="G35"/>
  <c r="G18"/>
  <c r="D33"/>
  <c r="D30"/>
  <c r="D26"/>
  <c r="D23"/>
  <c r="D29"/>
  <c r="G59"/>
  <c r="D22"/>
  <c r="D21"/>
  <c r="D10"/>
  <c r="D11"/>
  <c r="D14"/>
  <c r="D15"/>
  <c r="G17"/>
  <c r="G62" i="19" l="1"/>
  <c r="G61"/>
  <c r="G60"/>
  <c r="F57"/>
  <c r="G57" s="1"/>
  <c r="G56"/>
  <c r="G55"/>
  <c r="G53"/>
  <c r="G52"/>
  <c r="D49"/>
  <c r="G49" s="1"/>
  <c r="D47"/>
  <c r="G47" s="1"/>
  <c r="D46"/>
  <c r="G46" s="1"/>
  <c r="G43"/>
  <c r="D35"/>
  <c r="G35" s="1"/>
  <c r="D34"/>
  <c r="G34" s="1"/>
  <c r="D32"/>
  <c r="G32" s="1"/>
  <c r="D31"/>
  <c r="G31" s="1"/>
  <c r="G28"/>
  <c r="G26"/>
  <c r="G24"/>
  <c r="D23"/>
  <c r="G23" s="1"/>
  <c r="D22"/>
  <c r="G22" s="1"/>
  <c r="D21"/>
  <c r="G21" s="1"/>
  <c r="D15"/>
  <c r="G15" s="1"/>
  <c r="D14"/>
  <c r="G14" s="1"/>
  <c r="D11"/>
  <c r="G11" s="1"/>
  <c r="D10"/>
  <c r="G10" s="1"/>
  <c r="G8"/>
  <c r="G7"/>
  <c r="G6"/>
  <c r="G5"/>
  <c r="D4"/>
  <c r="G4" s="1"/>
  <c r="G54" i="18"/>
  <c r="G53"/>
  <c r="G51"/>
  <c r="G50"/>
  <c r="D47"/>
  <c r="G47" s="1"/>
  <c r="D32"/>
  <c r="G32" s="1"/>
  <c r="G5"/>
  <c r="G6"/>
  <c r="G7"/>
  <c r="G8"/>
  <c r="G61"/>
  <c r="G60"/>
  <c r="F56"/>
  <c r="G56" s="1"/>
  <c r="G45"/>
  <c r="G44"/>
  <c r="G41"/>
  <c r="G33"/>
  <c r="G30"/>
  <c r="G29"/>
  <c r="G26"/>
  <c r="G24"/>
  <c r="G23"/>
  <c r="G22"/>
  <c r="G21"/>
  <c r="G15"/>
  <c r="G14"/>
  <c r="G11"/>
  <c r="G10"/>
  <c r="G4"/>
  <c r="D12" i="17"/>
  <c r="D11"/>
  <c r="D5"/>
  <c r="G41"/>
  <c r="G40"/>
  <c r="G39"/>
  <c r="D35"/>
  <c r="D34"/>
  <c r="D33"/>
  <c r="D26"/>
  <c r="D32"/>
  <c r="D28"/>
  <c r="D27"/>
  <c r="D25"/>
  <c r="D17"/>
  <c r="G22"/>
  <c r="D16"/>
  <c r="G63" i="19" l="1"/>
  <c r="G62" i="18"/>
  <c r="E62" s="1"/>
  <c r="G11" i="17"/>
  <c r="D8"/>
  <c r="D7"/>
  <c r="D15"/>
  <c r="I63" i="19" l="1"/>
  <c r="E63"/>
  <c r="F36" i="17"/>
  <c r="G36" s="1"/>
  <c r="G35"/>
  <c r="G34"/>
  <c r="G33"/>
  <c r="G32"/>
  <c r="G29"/>
  <c r="G28"/>
  <c r="G27"/>
  <c r="G26"/>
  <c r="G25"/>
  <c r="G20"/>
  <c r="G18"/>
  <c r="G17"/>
  <c r="G16"/>
  <c r="G15"/>
  <c r="G12"/>
  <c r="G8"/>
  <c r="G7"/>
  <c r="G5"/>
  <c r="D12" i="16"/>
  <c r="D11"/>
  <c r="D8"/>
  <c r="D7"/>
  <c r="G42" i="17" l="1"/>
  <c r="E42" s="1"/>
  <c r="F34" i="16"/>
  <c r="G34" s="1"/>
  <c r="J34" l="1"/>
  <c r="H34"/>
  <c r="J33"/>
  <c r="G33"/>
  <c r="J32"/>
  <c r="G32"/>
  <c r="L31"/>
  <c r="G31"/>
  <c r="G30"/>
  <c r="J49"/>
  <c r="J27"/>
  <c r="H27"/>
  <c r="G27"/>
  <c r="J26"/>
  <c r="G26"/>
  <c r="J25"/>
  <c r="G25"/>
  <c r="L24"/>
  <c r="G24"/>
  <c r="G23"/>
  <c r="G20"/>
  <c r="J18"/>
  <c r="H18"/>
  <c r="G18"/>
  <c r="I17"/>
  <c r="H17"/>
  <c r="G17"/>
  <c r="I16"/>
  <c r="H16"/>
  <c r="G16"/>
  <c r="G15"/>
  <c r="J13"/>
  <c r="G12"/>
  <c r="M11"/>
  <c r="I12"/>
  <c r="J12" s="1"/>
  <c r="K9"/>
  <c r="H8"/>
  <c r="G8"/>
  <c r="K7"/>
  <c r="I7"/>
  <c r="I5"/>
  <c r="I6" s="1"/>
  <c r="D5"/>
  <c r="G5" s="1"/>
  <c r="G11" l="1"/>
  <c r="G7"/>
  <c r="I8"/>
  <c r="J27" i="15"/>
  <c r="H27"/>
  <c r="G27"/>
  <c r="G38" i="16" l="1"/>
  <c r="E38" s="1"/>
  <c r="J25" i="15"/>
  <c r="G25"/>
  <c r="H18"/>
  <c r="I17"/>
  <c r="D16"/>
  <c r="I16"/>
  <c r="D15"/>
  <c r="D12" l="1"/>
  <c r="D11"/>
  <c r="D7"/>
  <c r="I12" l="1"/>
  <c r="J12" s="1"/>
  <c r="G11"/>
  <c r="D8"/>
  <c r="H8"/>
  <c r="G7"/>
  <c r="I7"/>
  <c r="J40"/>
  <c r="J26"/>
  <c r="G26"/>
  <c r="L24"/>
  <c r="G24"/>
  <c r="D23"/>
  <c r="G23" s="1"/>
  <c r="G20"/>
  <c r="J18"/>
  <c r="G18"/>
  <c r="H17"/>
  <c r="G17"/>
  <c r="H16"/>
  <c r="G16"/>
  <c r="G15"/>
  <c r="J13"/>
  <c r="G12"/>
  <c r="M11"/>
  <c r="K9"/>
  <c r="K7"/>
  <c r="I5"/>
  <c r="I6" s="1"/>
  <c r="D5"/>
  <c r="G5" s="1"/>
  <c r="I8" l="1"/>
  <c r="G8"/>
  <c r="G29"/>
  <c r="E29" s="1"/>
  <c r="I5" i="12" l="1"/>
  <c r="I6" s="1"/>
  <c r="H16"/>
  <c r="M11"/>
  <c r="D12"/>
  <c r="G12" s="1"/>
  <c r="D8"/>
  <c r="H8"/>
  <c r="D18"/>
  <c r="D16"/>
  <c r="D17"/>
  <c r="H17"/>
  <c r="D23"/>
  <c r="D15"/>
  <c r="D11"/>
  <c r="K9"/>
  <c r="K7"/>
  <c r="D7"/>
  <c r="D5"/>
  <c r="J37" i="13"/>
  <c r="G24"/>
  <c r="G23"/>
  <c r="G20"/>
  <c r="D18"/>
  <c r="G18" s="1"/>
  <c r="D17"/>
  <c r="G17" s="1"/>
  <c r="D16"/>
  <c r="G16" s="1"/>
  <c r="D15"/>
  <c r="G15" s="1"/>
  <c r="G12"/>
  <c r="D11"/>
  <c r="G11" s="1"/>
  <c r="L9"/>
  <c r="K8"/>
  <c r="D8"/>
  <c r="G8" s="1"/>
  <c r="K7"/>
  <c r="D7"/>
  <c r="G7" s="1"/>
  <c r="D5"/>
  <c r="G5" s="1"/>
  <c r="D7" i="11"/>
  <c r="G24" i="12"/>
  <c r="G26" i="13" l="1"/>
  <c r="E26" s="1"/>
  <c r="J37" i="12"/>
  <c r="G23"/>
  <c r="G20"/>
  <c r="G18"/>
  <c r="G17"/>
  <c r="G16"/>
  <c r="G15"/>
  <c r="G11"/>
  <c r="G8"/>
  <c r="G7"/>
  <c r="G5"/>
  <c r="D16" i="11"/>
  <c r="D6"/>
  <c r="D10"/>
  <c r="G26" i="12" l="1"/>
  <c r="E26" s="1"/>
  <c r="D14" i="11"/>
  <c r="G18" l="1"/>
  <c r="D15"/>
  <c r="D13"/>
  <c r="J34" l="1"/>
  <c r="G21"/>
  <c r="G16"/>
  <c r="G15"/>
  <c r="G14"/>
  <c r="G13"/>
  <c r="G10"/>
  <c r="G7"/>
  <c r="G6"/>
  <c r="D4"/>
  <c r="G4" s="1"/>
  <c r="G23" l="1"/>
  <c r="E23" s="1"/>
  <c r="D16" i="10"/>
  <c r="G16" l="1"/>
  <c r="D7"/>
  <c r="G7" s="1"/>
  <c r="D10"/>
  <c r="G10" s="1"/>
  <c r="D6"/>
  <c r="G6" s="1"/>
  <c r="D15"/>
  <c r="G15" s="1"/>
  <c r="D14"/>
  <c r="G14" s="1"/>
  <c r="J32"/>
  <c r="G19"/>
  <c r="D13"/>
  <c r="G13" s="1"/>
  <c r="D4"/>
  <c r="G4" s="1"/>
  <c r="D15" i="9"/>
  <c r="D14"/>
  <c r="G21" i="10" l="1"/>
  <c r="E21" s="1"/>
  <c r="G15" i="9"/>
  <c r="D13"/>
  <c r="D12"/>
  <c r="D9" l="1"/>
  <c r="D6"/>
  <c r="D4" l="1"/>
  <c r="G4" s="1"/>
  <c r="J31"/>
  <c r="G18"/>
  <c r="G14"/>
  <c r="G13"/>
  <c r="G12"/>
  <c r="G9"/>
  <c r="G6"/>
  <c r="G17" i="8"/>
  <c r="D13"/>
  <c r="G13" s="1"/>
  <c r="D12"/>
  <c r="D9"/>
  <c r="D6"/>
  <c r="G20" i="9" l="1"/>
  <c r="E20" s="1"/>
  <c r="D4" i="8"/>
  <c r="G4" s="1"/>
  <c r="J30"/>
  <c r="G14"/>
  <c r="G12"/>
  <c r="G9"/>
  <c r="G6"/>
  <c r="G13" i="7"/>
  <c r="D12"/>
  <c r="G12" s="1"/>
  <c r="D9"/>
  <c r="G9" s="1"/>
  <c r="D6"/>
  <c r="G6" s="1"/>
  <c r="D4"/>
  <c r="G4" s="1"/>
  <c r="J25"/>
  <c r="G14" l="1"/>
  <c r="G19" i="8"/>
  <c r="E19" s="1"/>
  <c r="E14" i="7"/>
  <c r="D6" i="6" l="1"/>
  <c r="G6" s="1"/>
  <c r="D9"/>
  <c r="G9" s="1"/>
  <c r="D4"/>
  <c r="G4" s="1"/>
  <c r="J23"/>
  <c r="G11"/>
  <c r="D9" i="5"/>
  <c r="D6"/>
  <c r="G12" i="6" l="1"/>
  <c r="E12" s="1"/>
  <c r="J23" i="5"/>
  <c r="G11"/>
  <c r="G9"/>
  <c r="G6"/>
  <c r="D4"/>
  <c r="G4" s="1"/>
  <c r="D7" i="4"/>
  <c r="G7" s="1"/>
  <c r="D12"/>
  <c r="G12" s="1"/>
  <c r="D9"/>
  <c r="G9" s="1"/>
  <c r="J26"/>
  <c r="G14"/>
  <c r="D12" i="2"/>
  <c r="G12" s="1"/>
  <c r="D9"/>
  <c r="G9" s="1"/>
  <c r="D7"/>
  <c r="G7" s="1"/>
  <c r="J26" i="3"/>
  <c r="G14"/>
  <c r="D12"/>
  <c r="G12" s="1"/>
  <c r="D9"/>
  <c r="G9" s="1"/>
  <c r="D7"/>
  <c r="G7" s="1"/>
  <c r="G14" i="2"/>
  <c r="J26"/>
  <c r="G15" i="3" l="1"/>
  <c r="E15" s="1"/>
  <c r="G12" i="5"/>
  <c r="E12" s="1"/>
  <c r="G15" i="4"/>
  <c r="E15" s="1"/>
  <c r="G15" i="2"/>
  <c r="E15" s="1"/>
</calcChain>
</file>

<file path=xl/sharedStrings.xml><?xml version="1.0" encoding="utf-8"?>
<sst xmlns="http://schemas.openxmlformats.org/spreadsheetml/2006/main" count="1941" uniqueCount="277">
  <si>
    <t>Clearing and grubbing for road land complete as per Technical Specification Clause 201</t>
  </si>
  <si>
    <t>Qty</t>
  </si>
  <si>
    <t>Unit</t>
  </si>
  <si>
    <t>Amount</t>
  </si>
  <si>
    <t>Hect</t>
  </si>
  <si>
    <t>a) All types of Soils</t>
  </si>
  <si>
    <t>Cum</t>
  </si>
  <si>
    <t>Roadway excavation necessary for construction of roadway and drainage includes dressing, trimming and compacting the cut formation in accordance with requirements of lines, grades and cross fall complete as per Technical Specification section 301 and disposal of all cut material including necessary stacking of suitable material with all lifts and leads.</t>
  </si>
  <si>
    <t>b) Embankment with suitable materials deposited at site from roadway and drainage excavation</t>
  </si>
  <si>
    <t>Construction of embankment complete as per technical specification clause 305 with all leads and lifts.</t>
  </si>
  <si>
    <t>From roadway excavation</t>
  </si>
  <si>
    <t>a) In all types of Soils by mechanical means</t>
  </si>
  <si>
    <t>Description</t>
  </si>
  <si>
    <t>Earthwork in excavation of foundation for structures complete as per drawing and Technical Specification Clause 304 with all lifts and leads.</t>
  </si>
  <si>
    <t>S.No</t>
  </si>
  <si>
    <t>PACKAGE-03 Progress With BOQ Quantity</t>
  </si>
  <si>
    <t>Rate</t>
  </si>
  <si>
    <t>PACKAGE-03 Progress With BOQ Quantity 26.03.2024</t>
  </si>
  <si>
    <t>PACKAGE-03 Progress With BOQ Quantity 01.04.2024</t>
  </si>
  <si>
    <t>PACKAGE-03 Progress With BOQ Quantity 04.04.2024</t>
  </si>
  <si>
    <t>PACKAGE-03 Progress With BOQ Quantity As on 06.04.2024</t>
  </si>
  <si>
    <t>PACKAGE-03 Progress With BOQ Quantity As on 14.04.2024</t>
  </si>
  <si>
    <t>CULVERTS</t>
  </si>
  <si>
    <t>Providing  and  laying  Cement  concrete  for  foundations  excluding  cost  of  steel complete as per drawing and Technical Specifications Section 1500,1700, 2100. PCC M15</t>
  </si>
  <si>
    <t>PACKAGE-03 Progress With BOQ Quantity As on 21.04.2024</t>
  </si>
  <si>
    <t>Providing  and  laying  Cement  concrete  for  foundations  excluding  cost  of  steel complete as per drawing and Technical Specifications Section 1500,1700, 2100. RCC M30</t>
  </si>
  <si>
    <t>BRIDGES</t>
  </si>
  <si>
    <t>PACKAGE-03 Progress With BOQ Quantity As on 28.04.2024</t>
  </si>
  <si>
    <t>Providing, cutting, bending and fixing in position of HYSD bar  reinforcement in reinforced concrete structures complete as per drawing and Technical Specifications Section 1600</t>
  </si>
  <si>
    <t>MT</t>
  </si>
  <si>
    <t>PACKAGE-03 Progress With BOQ Quantity As on 05.05.2024</t>
  </si>
  <si>
    <t>d) Excavation for roadway in hard rock requiring controlled blasting by drilling, blasting and breaking, trimming of bottom and side slopes  in accordance  with requirements of lines, grades and cross sections, loading and disposal of all cut material including necessary stacking of suitable material with all lifts and leads complete as per Technical Specification Section 301 &amp; 302</t>
  </si>
  <si>
    <t>PACKAGE-03 Progress With BOQ Quantity As on 13.05.2024</t>
  </si>
  <si>
    <t>Providing and Laying Reinforced cement concrete for substructure excluding cost of steel complete as per drawing and Technical Specifications Section 1500,1700, 2200.</t>
  </si>
  <si>
    <t>a) RCC Grade M 25</t>
  </si>
  <si>
    <t>3x3</t>
  </si>
  <si>
    <t>2x2</t>
  </si>
  <si>
    <t>PACKAGE-03 Progress With BOQ Quantity As on 20.05.2024</t>
  </si>
  <si>
    <t>From Borrow Area</t>
  </si>
  <si>
    <t>PACKAGE-03 Progress With BOQ Quantity As on 26.05.2024</t>
  </si>
  <si>
    <t>Providing and laying Cement Concrete in foundation including centring and shuttering etc. as per Drawings and Technical Specifications Section 1500,1700 and 2100 (Excluding cost of steel) M30</t>
  </si>
  <si>
    <t>Providing and laying Cement Concrete in foundation including centring and shuttering etc. as per Drawings and Technical Specifications Section 1500,1700 and 2100 (Excluding cost of steel) M35</t>
  </si>
  <si>
    <t>PACKAGE-03 Progress With BOQ Quantity As on 08.07.2024</t>
  </si>
  <si>
    <t>Underpasses</t>
  </si>
  <si>
    <t>Providing and laying Cement Concrete in sub-structure including centring and shuttering etc. as per Drawings and Technical Specifications Section 1500,1700 and 2200 (Excluding cost of steel)</t>
  </si>
  <si>
    <t>MNB-ROB,MJB</t>
  </si>
  <si>
    <t>VUP,LVUP</t>
  </si>
  <si>
    <t>PACKAGE-03 Progress With BOQ Quantity As on 08.08.2024</t>
  </si>
  <si>
    <t>MNB</t>
  </si>
  <si>
    <t>BC/BS</t>
  </si>
  <si>
    <t>LVUP/VUP</t>
  </si>
  <si>
    <t>Providing and Laying Reinforced cement concrete for Box / Slab culverts in Superstructure excluding cost of steel complete as per drawing and Technical Specifications Sections 1500, 1700 and 2300.</t>
  </si>
  <si>
    <t>a) RCC Grade M 30</t>
  </si>
  <si>
    <t>5g.2</t>
  </si>
  <si>
    <t>Providing and construction of Toe wall complete as per the drawings and Technical Specifications 1500, 1600,1700, 2100 &amp; 2200 as directed by the Engineer.</t>
  </si>
  <si>
    <t>a) Excavation in all types of soil</t>
  </si>
  <si>
    <t>b) PCC M 15 using batching plant</t>
  </si>
  <si>
    <t>c) RCC Grade M 30 for foundation</t>
  </si>
  <si>
    <t>CUM</t>
  </si>
  <si>
    <t>PACKAGE-03 Progress With BOQ Quantity As on 08.09.2024</t>
  </si>
  <si>
    <t>a) Girth from 300 mm to 600 mm</t>
  </si>
  <si>
    <t>No</t>
  </si>
  <si>
    <t>b) Girth from 600 mm to 900 mm</t>
  </si>
  <si>
    <t>c) Girth from 900 mm to 1800 mm</t>
  </si>
  <si>
    <t>d) Girth above 1800 mm</t>
  </si>
  <si>
    <t>Construction of subgrade complete as per drawing and technical specification clause 305 with all leads and lifts.</t>
  </si>
  <si>
    <t>Providing and Construction of Granular Sub-base (Grade VI) by Mix in Place method, complete as per drawing and Technical Specifications Clause 401.</t>
  </si>
  <si>
    <t>Earth work  Bill no-02</t>
  </si>
  <si>
    <r>
      <t xml:space="preserve">Providing  and  laying  Cement  concrete  for  foundations  excluding  cost  of  steel complete as per drawing and Technical Specifications Section 1500,1700, 2100. </t>
    </r>
    <r>
      <rPr>
        <sz val="11"/>
        <color rgb="FFFF0000"/>
        <rFont val="Calibri"/>
        <family val="2"/>
        <scheme val="minor"/>
      </rPr>
      <t>PCC M15</t>
    </r>
  </si>
  <si>
    <r>
      <t xml:space="preserve">a) RCC Grade </t>
    </r>
    <r>
      <rPr>
        <sz val="11"/>
        <color rgb="FFFF0000"/>
        <rFont val="Calibri"/>
        <family val="2"/>
        <scheme val="minor"/>
      </rPr>
      <t>M 25</t>
    </r>
  </si>
  <si>
    <r>
      <t xml:space="preserve">a) RCC Grade </t>
    </r>
    <r>
      <rPr>
        <sz val="10"/>
        <color rgb="FFFF0000"/>
        <rFont val="Lato"/>
      </rPr>
      <t>M 30</t>
    </r>
  </si>
  <si>
    <r>
      <t xml:space="preserve">Providing and Laying Reinforced cement concrete for Box / Slab culverts in </t>
    </r>
    <r>
      <rPr>
        <sz val="10"/>
        <color rgb="FFFF0000"/>
        <rFont val="Lato"/>
      </rPr>
      <t>Superstructure</t>
    </r>
    <r>
      <rPr>
        <sz val="10"/>
        <color theme="1"/>
        <rFont val="Lato"/>
      </rPr>
      <t xml:space="preserve"> excluding cost of steel complete as per drawing and Technical Specifications Sections 1500, 1700 and 2300.</t>
    </r>
  </si>
  <si>
    <r>
      <t xml:space="preserve">Providing and Laying Reinforced cement concrete for </t>
    </r>
    <r>
      <rPr>
        <sz val="11"/>
        <color rgb="FFFF0000"/>
        <rFont val="Calibri"/>
        <family val="2"/>
        <scheme val="minor"/>
      </rPr>
      <t>substructure</t>
    </r>
    <r>
      <rPr>
        <sz val="11"/>
        <color theme="1"/>
        <rFont val="Calibri"/>
        <family val="2"/>
        <scheme val="minor"/>
      </rPr>
      <t xml:space="preserve"> excluding cost of steel complete as per drawing and Technical Specifications Section 1500,1700, 2200.</t>
    </r>
  </si>
  <si>
    <r>
      <t xml:space="preserve">Providing  and  laying  Cement  concrete  for  </t>
    </r>
    <r>
      <rPr>
        <sz val="11"/>
        <color rgb="FFFF0000"/>
        <rFont val="Calibri"/>
        <family val="2"/>
        <scheme val="minor"/>
      </rPr>
      <t>foundations</t>
    </r>
    <r>
      <rPr>
        <sz val="11"/>
        <color theme="1"/>
        <rFont val="Calibri"/>
        <family val="2"/>
        <scheme val="minor"/>
      </rPr>
      <t xml:space="preserve">  excluding  cost  of  steel complete as per drawing and Technical Specifications Section 1500,1700, 2100.</t>
    </r>
    <r>
      <rPr>
        <sz val="11"/>
        <color rgb="FFFF0000"/>
        <rFont val="Calibri"/>
        <family val="2"/>
        <scheme val="minor"/>
      </rPr>
      <t xml:space="preserve"> RCC M30</t>
    </r>
  </si>
  <si>
    <r>
      <t xml:space="preserve">Providing, cutting, bending and fixing in position of HYSD bar  </t>
    </r>
    <r>
      <rPr>
        <sz val="11"/>
        <color rgb="FFFF0000"/>
        <rFont val="Calibri"/>
        <family val="2"/>
        <scheme val="minor"/>
      </rPr>
      <t>reinforcement</t>
    </r>
    <r>
      <rPr>
        <sz val="11"/>
        <color theme="1"/>
        <rFont val="Calibri"/>
        <family val="2"/>
        <scheme val="minor"/>
      </rPr>
      <t xml:space="preserve"> in reinforced concrete structures complete as per drawing and Technical Specifications Section 1600</t>
    </r>
  </si>
  <si>
    <r>
      <t>Providing  and  laying  Cement  concrete  for  foundations  excluding  cost  of  steel complete as per drawing and Technical Specifications Section 1500,1700, 2100.</t>
    </r>
    <r>
      <rPr>
        <sz val="11"/>
        <color rgb="FFFF0000"/>
        <rFont val="Calibri"/>
        <family val="2"/>
        <scheme val="minor"/>
      </rPr>
      <t xml:space="preserve"> PCC M15</t>
    </r>
  </si>
  <si>
    <r>
      <t xml:space="preserve">Providing and laying Cement Concrete in </t>
    </r>
    <r>
      <rPr>
        <sz val="11"/>
        <color rgb="FFFF0000"/>
        <rFont val="Calibri"/>
        <family val="2"/>
        <scheme val="minor"/>
      </rPr>
      <t>foundation</t>
    </r>
    <r>
      <rPr>
        <sz val="11"/>
        <color theme="1"/>
        <rFont val="Calibri"/>
        <family val="2"/>
        <scheme val="minor"/>
      </rPr>
      <t xml:space="preserve"> including centring and shuttering etc. as per Drawings and Technical Specifications Section 1500,1700 and 2100 (Excluding cost of steel) </t>
    </r>
  </si>
  <si>
    <r>
      <t>a)</t>
    </r>
    <r>
      <rPr>
        <sz val="11"/>
        <color rgb="FFFF0000"/>
        <rFont val="Calibri"/>
        <family val="2"/>
        <scheme val="minor"/>
      </rPr>
      <t xml:space="preserve"> M30</t>
    </r>
  </si>
  <si>
    <r>
      <t>b)</t>
    </r>
    <r>
      <rPr>
        <sz val="11"/>
        <color rgb="FFFF0000"/>
        <rFont val="Calibri"/>
        <family val="2"/>
        <scheme val="minor"/>
      </rPr>
      <t xml:space="preserve"> M35</t>
    </r>
  </si>
  <si>
    <r>
      <t xml:space="preserve">Providing and laying Cement Concrete in </t>
    </r>
    <r>
      <rPr>
        <sz val="11"/>
        <color rgb="FFFF0000"/>
        <rFont val="Calibri"/>
        <family val="2"/>
        <scheme val="minor"/>
      </rPr>
      <t>sub-structure</t>
    </r>
    <r>
      <rPr>
        <sz val="11"/>
        <color theme="1"/>
        <rFont val="Calibri"/>
        <family val="2"/>
        <scheme val="minor"/>
      </rPr>
      <t xml:space="preserve"> including centring and shuttering etc. as per Drawings and Technical Specifications Section 1500,1700 and 2200 (Excluding cost of steel)</t>
    </r>
  </si>
  <si>
    <r>
      <t>b)</t>
    </r>
    <r>
      <rPr>
        <sz val="11"/>
        <color rgb="FFFF0000"/>
        <rFont val="Calibri"/>
        <family val="2"/>
        <scheme val="minor"/>
      </rPr>
      <t xml:space="preserve"> RCC M30</t>
    </r>
  </si>
  <si>
    <r>
      <t xml:space="preserve">c) </t>
    </r>
    <r>
      <rPr>
        <sz val="11"/>
        <color rgb="FFFF0000"/>
        <rFont val="Calibri"/>
        <family val="2"/>
        <scheme val="minor"/>
      </rPr>
      <t>RCC M35</t>
    </r>
  </si>
  <si>
    <r>
      <t>Providing and laying Reinforced Cement Concrete in</t>
    </r>
    <r>
      <rPr>
        <sz val="11"/>
        <color rgb="FFFF0000"/>
        <rFont val="Calibri"/>
        <family val="2"/>
        <scheme val="minor"/>
      </rPr>
      <t xml:space="preserve"> Super structure</t>
    </r>
    <r>
      <rPr>
        <sz val="11"/>
        <color theme="1"/>
        <rFont val="Calibri"/>
        <family val="2"/>
        <scheme val="minor"/>
      </rPr>
      <t xml:space="preserve"> complete as per Drawings and Technical Specifications Section 1700 &amp; 2300.(Excluding cost of steel).</t>
    </r>
  </si>
  <si>
    <r>
      <t xml:space="preserve">a) RCC </t>
    </r>
    <r>
      <rPr>
        <sz val="11"/>
        <color rgb="FFFF0000"/>
        <rFont val="Calibri"/>
        <family val="2"/>
        <scheme val="minor"/>
      </rPr>
      <t>M30</t>
    </r>
  </si>
  <si>
    <r>
      <t xml:space="preserve">b) RCC </t>
    </r>
    <r>
      <rPr>
        <sz val="11"/>
        <color rgb="FFFF0000"/>
        <rFont val="Calibri"/>
        <family val="2"/>
        <scheme val="minor"/>
      </rPr>
      <t>M35</t>
    </r>
  </si>
  <si>
    <r>
      <t xml:space="preserve">d) RCC </t>
    </r>
    <r>
      <rPr>
        <sz val="11"/>
        <color rgb="FFFF0000"/>
        <rFont val="Calibri"/>
        <family val="2"/>
        <scheme val="minor"/>
      </rPr>
      <t>M45</t>
    </r>
  </si>
  <si>
    <r>
      <t xml:space="preserve">a)RCC </t>
    </r>
    <r>
      <rPr>
        <sz val="11"/>
        <color rgb="FFFF0000"/>
        <rFont val="Calibri"/>
        <family val="2"/>
        <scheme val="minor"/>
      </rPr>
      <t>M30</t>
    </r>
  </si>
  <si>
    <r>
      <t xml:space="preserve">b)RCC </t>
    </r>
    <r>
      <rPr>
        <sz val="11"/>
        <color rgb="FFFF0000"/>
        <rFont val="Calibri"/>
        <family val="2"/>
        <scheme val="minor"/>
      </rPr>
      <t>M35</t>
    </r>
  </si>
  <si>
    <r>
      <t>Providing and laying Cement Concrete in</t>
    </r>
    <r>
      <rPr>
        <sz val="11"/>
        <color rgb="FFFF0000"/>
        <rFont val="Calibri"/>
        <family val="2"/>
        <scheme val="minor"/>
      </rPr>
      <t xml:space="preserve"> sub-structure</t>
    </r>
    <r>
      <rPr>
        <sz val="11"/>
        <color theme="1"/>
        <rFont val="Calibri"/>
        <family val="2"/>
        <scheme val="minor"/>
      </rPr>
      <t xml:space="preserve"> including centring and shuttering etc. as per Drawings and Technical Specifications Section 1500,1700 and 2200 (Excluding cost of steel)</t>
    </r>
  </si>
  <si>
    <r>
      <t xml:space="preserve">b) RCC </t>
    </r>
    <r>
      <rPr>
        <sz val="11"/>
        <color rgb="FFFF0000"/>
        <rFont val="Calibri"/>
        <family val="2"/>
        <scheme val="minor"/>
      </rPr>
      <t>M30</t>
    </r>
  </si>
  <si>
    <r>
      <t xml:space="preserve">c) RCC </t>
    </r>
    <r>
      <rPr>
        <sz val="11"/>
        <color rgb="FFFF0000"/>
        <rFont val="Calibri"/>
        <family val="2"/>
        <scheme val="minor"/>
      </rPr>
      <t>M35</t>
    </r>
  </si>
  <si>
    <r>
      <t xml:space="preserve">Providing and laying Reinforced Cement Concrete in </t>
    </r>
    <r>
      <rPr>
        <sz val="11"/>
        <color rgb="FFFF0000"/>
        <rFont val="Calibri"/>
        <family val="2"/>
        <scheme val="minor"/>
      </rPr>
      <t>Super structure</t>
    </r>
    <r>
      <rPr>
        <sz val="11"/>
        <color theme="1"/>
        <rFont val="Calibri"/>
        <family val="2"/>
        <scheme val="minor"/>
      </rPr>
      <t xml:space="preserve"> complete as per Drawings and Technical Specifications Section 1700 &amp; 2300.(Excluding cost of steel).</t>
    </r>
  </si>
  <si>
    <r>
      <t>Providing and construction of</t>
    </r>
    <r>
      <rPr>
        <sz val="11"/>
        <color rgb="FFFF0000"/>
        <rFont val="Calibri"/>
        <family val="2"/>
        <scheme val="minor"/>
      </rPr>
      <t xml:space="preserve"> Toe</t>
    </r>
    <r>
      <rPr>
        <sz val="11"/>
        <color theme="1"/>
        <rFont val="Calibri"/>
        <family val="2"/>
        <scheme val="minor"/>
      </rPr>
      <t xml:space="preserve"> </t>
    </r>
    <r>
      <rPr>
        <sz val="11"/>
        <color rgb="FFFF0000"/>
        <rFont val="Calibri"/>
        <family val="2"/>
        <scheme val="minor"/>
      </rPr>
      <t>wall</t>
    </r>
    <r>
      <rPr>
        <sz val="11"/>
        <color theme="1"/>
        <rFont val="Calibri"/>
        <family val="2"/>
        <scheme val="minor"/>
      </rPr>
      <t xml:space="preserve"> complete as per the drawings and Technical Specifications 1500, 1600,1700, 2100 &amp; 2200 as directed by the Engineer.</t>
    </r>
  </si>
  <si>
    <t>MNB/MJB/ROB</t>
  </si>
  <si>
    <r>
      <t xml:space="preserve">a) </t>
    </r>
    <r>
      <rPr>
        <sz val="10"/>
        <color rgb="FFFF0000"/>
        <rFont val="Lato"/>
      </rPr>
      <t>Subgrade</t>
    </r>
    <r>
      <rPr>
        <sz val="10"/>
        <rFont val="LATO"/>
      </rPr>
      <t xml:space="preserve"> with approved material obtained from approved borrow areas</t>
    </r>
  </si>
  <si>
    <r>
      <t xml:space="preserve">d) RCC </t>
    </r>
    <r>
      <rPr>
        <sz val="10"/>
        <color rgb="FFFF0000"/>
        <rFont val="Lato"/>
      </rPr>
      <t>M45, Cast in situ</t>
    </r>
  </si>
  <si>
    <r>
      <t xml:space="preserve">Providing, cutting, bending and fixing in position of HYSD bar  reinforcement in </t>
    </r>
    <r>
      <rPr>
        <sz val="11"/>
        <color rgb="FFFF0000"/>
        <rFont val="Calibri"/>
        <family val="2"/>
        <scheme val="minor"/>
      </rPr>
      <t>reinforced</t>
    </r>
    <r>
      <rPr>
        <sz val="11"/>
        <color theme="1"/>
        <rFont val="Calibri"/>
        <family val="2"/>
        <scheme val="minor"/>
      </rPr>
      <t xml:space="preserve"> concrete structures complete as per drawing and Technical Specifications Section 1600</t>
    </r>
  </si>
  <si>
    <r>
      <t>d) Excavation for roadway in hard rock requiring controlled blasting by drilling,</t>
    </r>
    <r>
      <rPr>
        <sz val="11"/>
        <color rgb="FFFF0000"/>
        <rFont val="Calibri"/>
        <family val="2"/>
        <scheme val="minor"/>
      </rPr>
      <t xml:space="preserve"> blasting and breaking, trimming of bottom</t>
    </r>
    <r>
      <rPr>
        <sz val="11"/>
        <color theme="1"/>
        <rFont val="Calibri"/>
        <family val="2"/>
        <scheme val="minor"/>
      </rPr>
      <t xml:space="preserve"> and side slopes  in accordance  with requirements of lines, grades and cross sections, loading and disposal of all cut material including necessary stacking of suitable material with all lifts and leads complete as per Technical Specification Section 301 &amp; 302</t>
    </r>
  </si>
  <si>
    <r>
      <t xml:space="preserve">Providing  and  Construction  of  </t>
    </r>
    <r>
      <rPr>
        <sz val="10"/>
        <color rgb="FFFF0000"/>
        <rFont val="Lato"/>
      </rPr>
      <t>CTB</t>
    </r>
    <r>
      <rPr>
        <sz val="10"/>
        <rFont val="LATO"/>
      </rPr>
      <t xml:space="preserve">  with  approved  material complete as per MORTH Technical Specification Clause No. 406 </t>
    </r>
    <r>
      <rPr>
        <sz val="10"/>
        <color rgb="FFFF0000"/>
        <rFont val="Lato"/>
      </rPr>
      <t>(WMM)</t>
    </r>
  </si>
  <si>
    <t>PACKAGE-03 Progress With BOQ Quantity As on 08.10.2024</t>
  </si>
  <si>
    <t>e) Reinforcement</t>
  </si>
  <si>
    <r>
      <t xml:space="preserve">Providing and Construction of Aggregate Interlocking Layer </t>
    </r>
    <r>
      <rPr>
        <sz val="10"/>
        <color rgb="FFFF0000"/>
        <rFont val="Lato"/>
      </rPr>
      <t>(AIL)</t>
    </r>
    <r>
      <rPr>
        <sz val="10"/>
        <rFont val="LATO"/>
      </rPr>
      <t xml:space="preserve"> with approved material complete as per MORTH Technical Specification Clause No. 406</t>
    </r>
  </si>
  <si>
    <t>PAVING COURSES</t>
  </si>
  <si>
    <r>
      <t xml:space="preserve">Providing and laying </t>
    </r>
    <r>
      <rPr>
        <sz val="10"/>
        <color rgb="FFFF0000"/>
        <rFont val="Lato"/>
      </rPr>
      <t>Prime coat</t>
    </r>
    <r>
      <rPr>
        <sz val="10"/>
        <rFont val="LATO"/>
      </rPr>
      <t xml:space="preserve"> over granular surface as per drawing and technical specifications.</t>
    </r>
  </si>
  <si>
    <r>
      <t xml:space="preserve">Providing and applying bituminous </t>
    </r>
    <r>
      <rPr>
        <sz val="10"/>
        <color rgb="FFFF0000"/>
        <rFont val="Lato"/>
      </rPr>
      <t>Tack coat</t>
    </r>
    <r>
      <rPr>
        <sz val="10"/>
        <rFont val="LATO"/>
      </rPr>
      <t xml:space="preserve"> @ 2.0 to 3.0 kg /10 sqm over prepared bituminous surface with bituminous emulsion all complete as per Technical Specification Clause 503</t>
    </r>
  </si>
  <si>
    <r>
      <t>Providing and laying Dense Bituminous Macadam (</t>
    </r>
    <r>
      <rPr>
        <sz val="10"/>
        <color rgb="FFFF0000"/>
        <rFont val="Lato"/>
      </rPr>
      <t>DBM with VG-40,</t>
    </r>
    <r>
      <rPr>
        <sz val="10"/>
        <rFont val="LATO"/>
      </rPr>
      <t xml:space="preserve"> grading-2) course complete as per MoRTH Technical Specification Clause Nos 501 &amp; 505.</t>
    </r>
  </si>
  <si>
    <t>SQM</t>
  </si>
  <si>
    <r>
      <t xml:space="preserve">Providing and Construction of </t>
    </r>
    <r>
      <rPr>
        <sz val="10"/>
        <color rgb="FFFF0000"/>
        <rFont val="Lato"/>
      </rPr>
      <t>Granular Sub-base</t>
    </r>
    <r>
      <rPr>
        <sz val="10"/>
        <rFont val="LATO"/>
      </rPr>
      <t xml:space="preserve"> (Grade VI) by Mix in Place method, complete as per drawing and Technical Specifications Clause 401.</t>
    </r>
  </si>
  <si>
    <r>
      <t xml:space="preserve">C) RCC </t>
    </r>
    <r>
      <rPr>
        <sz val="11"/>
        <color rgb="FFFF0000"/>
        <rFont val="Calibri"/>
        <family val="2"/>
        <scheme val="minor"/>
      </rPr>
      <t>M40</t>
    </r>
  </si>
  <si>
    <t>BILL NO 5f : DRAINAGE, PROTECTIVE WORKS AND OTHER SERVICES</t>
  </si>
  <si>
    <t>RMT</t>
  </si>
  <si>
    <t>a)</t>
  </si>
  <si>
    <t>Re Panel Erection</t>
  </si>
  <si>
    <t>Boundry wall Panel Erection</t>
  </si>
  <si>
    <t>RE wall Panel Casting</t>
  </si>
  <si>
    <t>Other Work</t>
  </si>
  <si>
    <t>Shoulder Drain</t>
  </si>
  <si>
    <t xml:space="preserve">PACKAGE-02 Progress With BOQ Quantity As on 31.01.2025 </t>
  </si>
  <si>
    <t>Earth work  Bill no-</t>
  </si>
  <si>
    <t>PACKAGE-02 Progress With BOQ Quantity As on 31.03.2025</t>
  </si>
  <si>
    <t>PACKAGE-02 Progress With BOQ Quantity As on 30.04.2025</t>
  </si>
  <si>
    <t>b)</t>
  </si>
  <si>
    <t>Lined Drain</t>
  </si>
  <si>
    <t>PACKAGE-02 Progress With BOQ Quantity As on 31.05.2025</t>
  </si>
  <si>
    <t>CTSB on Earthen Shoulder</t>
  </si>
  <si>
    <t>PACKAGE-02 Progress With BOQ Quantity As on 30.06.2025</t>
  </si>
  <si>
    <r>
      <t>d) Excavation for roadway in hard rock requiring controlled blasting by drilling,</t>
    </r>
    <r>
      <rPr>
        <sz val="11"/>
        <color rgb="FFFF0000"/>
        <rFont val="Cambria"/>
        <family val="1"/>
      </rPr>
      <t xml:space="preserve"> blasting and breaking, trimming of bottom</t>
    </r>
    <r>
      <rPr>
        <sz val="11"/>
        <color theme="1"/>
        <rFont val="Cambria"/>
        <family val="1"/>
      </rPr>
      <t xml:space="preserve"> and side slopes  in accordance  with requirements of lines, grades and cross sections, loading and disposal of all cut material including necessary stacking of suitable material with all lifts and leads complete as per Technical Specification Section 301 &amp; 302</t>
    </r>
  </si>
  <si>
    <r>
      <t xml:space="preserve">a) </t>
    </r>
    <r>
      <rPr>
        <sz val="10"/>
        <color rgb="FFFF0000"/>
        <rFont val="Cambria"/>
        <family val="1"/>
      </rPr>
      <t>Subgrade</t>
    </r>
    <r>
      <rPr>
        <sz val="10"/>
        <rFont val="Cambria"/>
        <family val="1"/>
      </rPr>
      <t xml:space="preserve"> with approved material obtained from approved borrow areas</t>
    </r>
  </si>
  <si>
    <r>
      <t xml:space="preserve">Providing and Construction of </t>
    </r>
    <r>
      <rPr>
        <sz val="10"/>
        <color rgb="FFFF0000"/>
        <rFont val="Cambria"/>
        <family val="1"/>
      </rPr>
      <t>Granular Sub-base</t>
    </r>
    <r>
      <rPr>
        <sz val="10"/>
        <rFont val="Cambria"/>
        <family val="1"/>
      </rPr>
      <t xml:space="preserve"> (Grade VI) by Mix in Place method, complete as per drawing and Technical Specifications Clause 401.</t>
    </r>
  </si>
  <si>
    <r>
      <t xml:space="preserve">Providing and Construction of Aggregate Interlocking Layer </t>
    </r>
    <r>
      <rPr>
        <sz val="10"/>
        <color rgb="FFFF0000"/>
        <rFont val="Cambria"/>
        <family val="1"/>
      </rPr>
      <t>(AIL)</t>
    </r>
    <r>
      <rPr>
        <sz val="10"/>
        <rFont val="Cambria"/>
        <family val="1"/>
      </rPr>
      <t xml:space="preserve"> with approved material complete as per MORTH Technical Specification Clause No. 406</t>
    </r>
  </si>
  <si>
    <r>
      <t xml:space="preserve">Providing and laying </t>
    </r>
    <r>
      <rPr>
        <sz val="10"/>
        <color rgb="FFFF0000"/>
        <rFont val="Cambria"/>
        <family val="1"/>
      </rPr>
      <t>Prime coat</t>
    </r>
    <r>
      <rPr>
        <sz val="10"/>
        <rFont val="Cambria"/>
        <family val="1"/>
      </rPr>
      <t xml:space="preserve"> over granular surface as per drawing and technical specifications.</t>
    </r>
  </si>
  <si>
    <r>
      <t xml:space="preserve">Providing and applying bituminous </t>
    </r>
    <r>
      <rPr>
        <sz val="10"/>
        <color rgb="FFFF0000"/>
        <rFont val="Cambria"/>
        <family val="1"/>
      </rPr>
      <t>Tack coat</t>
    </r>
    <r>
      <rPr>
        <sz val="10"/>
        <rFont val="Cambria"/>
        <family val="1"/>
      </rPr>
      <t xml:space="preserve"> @ 2.0 to 3.0 kg /10 sqm over prepared bituminous surface with bituminous emulsion all complete as per Technical Specification Clause 503</t>
    </r>
  </si>
  <si>
    <r>
      <t>Providing and laying Dense Bituminous Macadam (</t>
    </r>
    <r>
      <rPr>
        <sz val="10"/>
        <color rgb="FFFF0000"/>
        <rFont val="Cambria"/>
        <family val="1"/>
      </rPr>
      <t>DBM with VG-40,</t>
    </r>
    <r>
      <rPr>
        <sz val="10"/>
        <rFont val="Cambria"/>
        <family val="1"/>
      </rPr>
      <t xml:space="preserve"> grading-2) course complete as per MoRTH Technical Specification Clause Nos 501 &amp; 505.</t>
    </r>
  </si>
  <si>
    <r>
      <t xml:space="preserve">Providing  and  laying  Cement  concrete  for  foundations  excluding  cost  of  steel complete as per drawing and Technical Specifications Section 1500,1700, 2100. </t>
    </r>
    <r>
      <rPr>
        <sz val="11"/>
        <color rgb="FFFF0000"/>
        <rFont val="Cambria"/>
        <family val="1"/>
      </rPr>
      <t>PCC M15</t>
    </r>
  </si>
  <si>
    <r>
      <t xml:space="preserve">Providing  and  laying  Cement  concrete  for  </t>
    </r>
    <r>
      <rPr>
        <sz val="11"/>
        <color rgb="FFFF0000"/>
        <rFont val="Cambria"/>
        <family val="1"/>
      </rPr>
      <t>foundations</t>
    </r>
    <r>
      <rPr>
        <sz val="11"/>
        <color theme="1"/>
        <rFont val="Cambria"/>
        <family val="1"/>
      </rPr>
      <t xml:space="preserve">  excluding  cost  of  steel complete as per drawing and Technical Specifications Section 1500,1700, 2100.</t>
    </r>
    <r>
      <rPr>
        <sz val="11"/>
        <color rgb="FFFF0000"/>
        <rFont val="Cambria"/>
        <family val="1"/>
      </rPr>
      <t xml:space="preserve"> RCC M30</t>
    </r>
  </si>
  <si>
    <r>
      <t xml:space="preserve">Providing, cutting, bending and fixing in position of HYSD bar  </t>
    </r>
    <r>
      <rPr>
        <sz val="11"/>
        <color rgb="FFFF0000"/>
        <rFont val="Cambria"/>
        <family val="1"/>
      </rPr>
      <t>reinforcement</t>
    </r>
    <r>
      <rPr>
        <sz val="11"/>
        <color theme="1"/>
        <rFont val="Cambria"/>
        <family val="1"/>
      </rPr>
      <t xml:space="preserve"> in reinforced concrete structures complete as per drawing and Technical Specifications Section 1600</t>
    </r>
  </si>
  <si>
    <r>
      <t xml:space="preserve">Providing and Laying Reinforced cement concrete for Box / Slab culverts in </t>
    </r>
    <r>
      <rPr>
        <sz val="10"/>
        <color rgb="FFFF0000"/>
        <rFont val="Cambria"/>
        <family val="1"/>
      </rPr>
      <t>Superstructure</t>
    </r>
    <r>
      <rPr>
        <sz val="10"/>
        <color theme="1"/>
        <rFont val="Cambria"/>
        <family val="1"/>
      </rPr>
      <t xml:space="preserve"> excluding cost of steel complete as per drawing and Technical Specifications Sections 1500, 1700 and 2300.</t>
    </r>
  </si>
  <si>
    <r>
      <t xml:space="preserve">a) RCC Grade </t>
    </r>
    <r>
      <rPr>
        <sz val="10"/>
        <color rgb="FFFF0000"/>
        <rFont val="Cambria"/>
        <family val="1"/>
      </rPr>
      <t>M 30</t>
    </r>
  </si>
  <si>
    <r>
      <t>Providing  and  laying  Cement  concrete  for  foundations  excluding  cost  of  steel complete as per drawing and Technical Specifications Section 1500,1700, 2100.</t>
    </r>
    <r>
      <rPr>
        <sz val="11"/>
        <color rgb="FFFF0000"/>
        <rFont val="Cambria"/>
        <family val="1"/>
      </rPr>
      <t xml:space="preserve"> PCC M15</t>
    </r>
  </si>
  <si>
    <r>
      <t xml:space="preserve">Providing and laying Cement Concrete in </t>
    </r>
    <r>
      <rPr>
        <sz val="11"/>
        <color rgb="FFFF0000"/>
        <rFont val="Cambria"/>
        <family val="1"/>
      </rPr>
      <t>foundation</t>
    </r>
    <r>
      <rPr>
        <sz val="11"/>
        <color theme="1"/>
        <rFont val="Cambria"/>
        <family val="1"/>
      </rPr>
      <t xml:space="preserve"> including centring and shuttering etc. as per Drawings and Technical Specifications Section 1500,1700 and 2100 (Excluding cost of steel) </t>
    </r>
  </si>
  <si>
    <r>
      <t>a)</t>
    </r>
    <r>
      <rPr>
        <sz val="11"/>
        <color rgb="FFFF0000"/>
        <rFont val="Cambria"/>
        <family val="1"/>
      </rPr>
      <t xml:space="preserve"> M30</t>
    </r>
  </si>
  <si>
    <r>
      <t>b)</t>
    </r>
    <r>
      <rPr>
        <sz val="11"/>
        <color rgb="FFFF0000"/>
        <rFont val="Cambria"/>
        <family val="1"/>
      </rPr>
      <t xml:space="preserve"> M35</t>
    </r>
  </si>
  <si>
    <r>
      <t xml:space="preserve">Providing and laying Cement Concrete in </t>
    </r>
    <r>
      <rPr>
        <sz val="11"/>
        <color rgb="FFFF0000"/>
        <rFont val="Cambria"/>
        <family val="1"/>
      </rPr>
      <t>sub-structure</t>
    </r>
    <r>
      <rPr>
        <sz val="11"/>
        <color theme="1"/>
        <rFont val="Cambria"/>
        <family val="1"/>
      </rPr>
      <t xml:space="preserve"> including centring and shuttering etc. as per Drawings and Technical Specifications Section 1500,1700 and 2200 (Excluding cost of steel)</t>
    </r>
  </si>
  <si>
    <r>
      <t>b)</t>
    </r>
    <r>
      <rPr>
        <sz val="11"/>
        <color rgb="FFFF0000"/>
        <rFont val="Cambria"/>
        <family val="1"/>
      </rPr>
      <t xml:space="preserve"> RCC M30</t>
    </r>
  </si>
  <si>
    <r>
      <t xml:space="preserve">c) </t>
    </r>
    <r>
      <rPr>
        <sz val="11"/>
        <color rgb="FFFF0000"/>
        <rFont val="Cambria"/>
        <family val="1"/>
      </rPr>
      <t>RCC M35</t>
    </r>
  </si>
  <si>
    <r>
      <t>Providing and laying Reinforced Cement Concrete in</t>
    </r>
    <r>
      <rPr>
        <sz val="11"/>
        <color rgb="FFFF0000"/>
        <rFont val="Cambria"/>
        <family val="1"/>
      </rPr>
      <t xml:space="preserve"> Super structure</t>
    </r>
    <r>
      <rPr>
        <sz val="11"/>
        <color theme="1"/>
        <rFont val="Cambria"/>
        <family val="1"/>
      </rPr>
      <t xml:space="preserve"> complete as per Drawings and Technical Specifications Section 1700 &amp; 2300.(Excluding cost of steel).</t>
    </r>
  </si>
  <si>
    <r>
      <t xml:space="preserve">a) RCC </t>
    </r>
    <r>
      <rPr>
        <sz val="11"/>
        <color rgb="FFFF0000"/>
        <rFont val="Cambria"/>
        <family val="1"/>
      </rPr>
      <t>M30</t>
    </r>
  </si>
  <si>
    <r>
      <t xml:space="preserve">b) RCC </t>
    </r>
    <r>
      <rPr>
        <sz val="11"/>
        <color rgb="FFFF0000"/>
        <rFont val="Cambria"/>
        <family val="1"/>
      </rPr>
      <t>M35</t>
    </r>
  </si>
  <si>
    <r>
      <t xml:space="preserve">C) RCC </t>
    </r>
    <r>
      <rPr>
        <sz val="11"/>
        <color rgb="FFFF0000"/>
        <rFont val="Cambria"/>
        <family val="1"/>
      </rPr>
      <t>M40</t>
    </r>
  </si>
  <si>
    <r>
      <t xml:space="preserve">d) RCC </t>
    </r>
    <r>
      <rPr>
        <sz val="11"/>
        <color rgb="FFFF0000"/>
        <rFont val="Cambria"/>
        <family val="1"/>
      </rPr>
      <t>M45</t>
    </r>
  </si>
  <si>
    <r>
      <t xml:space="preserve">Providing, cutting, bending and fixing in position of HYSD bar  reinforcement in </t>
    </r>
    <r>
      <rPr>
        <sz val="11"/>
        <color rgb="FFFF0000"/>
        <rFont val="Cambria"/>
        <family val="1"/>
      </rPr>
      <t>reinforced</t>
    </r>
    <r>
      <rPr>
        <sz val="11"/>
        <color theme="1"/>
        <rFont val="Cambria"/>
        <family val="1"/>
      </rPr>
      <t xml:space="preserve"> concrete structures complete as per drawing and Technical Specifications Section 1600</t>
    </r>
  </si>
  <si>
    <r>
      <t xml:space="preserve">a)RCC </t>
    </r>
    <r>
      <rPr>
        <sz val="11"/>
        <color rgb="FFFF0000"/>
        <rFont val="Cambria"/>
        <family val="1"/>
      </rPr>
      <t>M30</t>
    </r>
  </si>
  <si>
    <r>
      <t xml:space="preserve">b)RCC </t>
    </r>
    <r>
      <rPr>
        <sz val="11"/>
        <color rgb="FFFF0000"/>
        <rFont val="Cambria"/>
        <family val="1"/>
      </rPr>
      <t>M35</t>
    </r>
  </si>
  <si>
    <r>
      <t>Providing and laying Cement Concrete in</t>
    </r>
    <r>
      <rPr>
        <sz val="11"/>
        <color rgb="FFFF0000"/>
        <rFont val="Cambria"/>
        <family val="1"/>
      </rPr>
      <t xml:space="preserve"> sub-structure</t>
    </r>
    <r>
      <rPr>
        <sz val="11"/>
        <color theme="1"/>
        <rFont val="Cambria"/>
        <family val="1"/>
      </rPr>
      <t xml:space="preserve"> including centring and shuttering etc. as per Drawings and Technical Specifications Section 1500,1700 and 2200 (Excluding cost of steel)</t>
    </r>
  </si>
  <si>
    <r>
      <t xml:space="preserve">b) RCC </t>
    </r>
    <r>
      <rPr>
        <sz val="11"/>
        <color rgb="FFFF0000"/>
        <rFont val="Cambria"/>
        <family val="1"/>
      </rPr>
      <t>M30</t>
    </r>
  </si>
  <si>
    <r>
      <t xml:space="preserve">c) RCC </t>
    </r>
    <r>
      <rPr>
        <sz val="11"/>
        <color rgb="FFFF0000"/>
        <rFont val="Cambria"/>
        <family val="1"/>
      </rPr>
      <t>M35</t>
    </r>
  </si>
  <si>
    <r>
      <t xml:space="preserve">Providing and laying Reinforced Cement Concrete in </t>
    </r>
    <r>
      <rPr>
        <sz val="11"/>
        <color rgb="FFFF0000"/>
        <rFont val="Cambria"/>
        <family val="1"/>
      </rPr>
      <t>Super structure</t>
    </r>
    <r>
      <rPr>
        <sz val="11"/>
        <color theme="1"/>
        <rFont val="Cambria"/>
        <family val="1"/>
      </rPr>
      <t xml:space="preserve"> complete as per Drawings and Technical Specifications Section 1700 &amp; 2300.(Excluding cost of steel).</t>
    </r>
  </si>
  <si>
    <r>
      <t xml:space="preserve">d) RCC </t>
    </r>
    <r>
      <rPr>
        <sz val="10"/>
        <color rgb="FFFF0000"/>
        <rFont val="Cambria"/>
        <family val="1"/>
      </rPr>
      <t>M45, Cast in situ</t>
    </r>
  </si>
  <si>
    <r>
      <t>Providing and construction of</t>
    </r>
    <r>
      <rPr>
        <sz val="11"/>
        <color rgb="FFFF0000"/>
        <rFont val="Cambria"/>
        <family val="1"/>
      </rPr>
      <t xml:space="preserve"> Toe</t>
    </r>
    <r>
      <rPr>
        <sz val="11"/>
        <color theme="1"/>
        <rFont val="Cambria"/>
        <family val="1"/>
      </rPr>
      <t xml:space="preserve"> </t>
    </r>
    <r>
      <rPr>
        <sz val="11"/>
        <color rgb="FFFF0000"/>
        <rFont val="Cambria"/>
        <family val="1"/>
      </rPr>
      <t>wall</t>
    </r>
    <r>
      <rPr>
        <sz val="11"/>
        <color theme="1"/>
        <rFont val="Cambria"/>
        <family val="1"/>
      </rPr>
      <t xml:space="preserve"> complete as per the drawings and Technical Specifications 1500, 1600,1700, 2100 &amp; 2200 as directed by the Engineer.</t>
    </r>
  </si>
  <si>
    <r>
      <t xml:space="preserve">Providing and erecting a </t>
    </r>
    <r>
      <rPr>
        <sz val="10"/>
        <color rgb="FFFF0000"/>
        <rFont val="Cambria"/>
        <family val="1"/>
      </rPr>
      <t>"Thrie" metal beam crash barrier</t>
    </r>
    <r>
      <rPr>
        <sz val="10"/>
        <color rgb="FF000000"/>
        <rFont val="Cambria"/>
        <family val="1"/>
      </rPr>
      <t xml:space="preserve"> comprising of 3 mm thick corrugated sheet metal beam rail, 85 cm above road/ground level, fixed on ISMC series channel vertical post, 150 x 75 x 5 mm spaced 2 m centre to centre, 2 m high with 1.15 m below ground level, all steel parts and fitments to be galvanised by hot dip process, all fittings to conform to IS:1367 and IS:1364, metal beam rail to be fixed on the vertical post with a space of channel section 150 x 75 x 5 mm, 546 mm long complete as per clause 810</t>
    </r>
  </si>
  <si>
    <t>A</t>
  </si>
  <si>
    <r>
      <t xml:space="preserve">Providing  and  Construction  of  wet  mix  macadam  </t>
    </r>
    <r>
      <rPr>
        <sz val="10"/>
        <color rgb="FFFF0000"/>
        <rFont val="Cambria"/>
        <family val="1"/>
      </rPr>
      <t xml:space="preserve">(WMM) </t>
    </r>
    <r>
      <rPr>
        <sz val="10"/>
        <rFont val="Cambria"/>
        <family val="1"/>
      </rPr>
      <t xml:space="preserve"> base  with  approved material complete as per MORTH Technical Specification Clause No. 406</t>
    </r>
  </si>
  <si>
    <r>
      <t>Providing and Construction of Cement Treated Sub-base(Grade IV) by Mix in Place method, complete as per drawing and Technical Specifications Clause 401.</t>
    </r>
    <r>
      <rPr>
        <sz val="10"/>
        <color rgb="FFFF0000"/>
        <rFont val="Cambria"/>
        <family val="1"/>
      </rPr>
      <t>CTSB</t>
    </r>
  </si>
  <si>
    <t>B</t>
  </si>
  <si>
    <t>C</t>
  </si>
  <si>
    <t>D</t>
  </si>
  <si>
    <t>E</t>
  </si>
  <si>
    <t>F</t>
  </si>
  <si>
    <t>Road side drains (Shoulder drain,Linne drain,Unline Drain)</t>
  </si>
  <si>
    <t>Geocell &amp; turfing  on Slope protection</t>
  </si>
  <si>
    <r>
      <t>Providing and constructing</t>
    </r>
    <r>
      <rPr>
        <sz val="10"/>
        <color rgb="FFFF0000"/>
        <rFont val="Lato"/>
      </rPr>
      <t xml:space="preserve"> RCC crash barrier M-40</t>
    </r>
    <r>
      <rPr>
        <sz val="10"/>
        <rFont val="LATO"/>
      </rPr>
      <t xml:space="preserve"> grade including cost of centering, shuttering and reinforcement as per approved Drawings and  Technical Specifications 811,1500, 1600, 1700 and as per IRC-6.</t>
    </r>
  </si>
  <si>
    <t>Chute Drain</t>
  </si>
  <si>
    <t>Water pipe line (Utility Pipe)</t>
  </si>
  <si>
    <r>
      <t xml:space="preserve">Providing and constructing </t>
    </r>
    <r>
      <rPr>
        <sz val="10"/>
        <color rgb="FFFF0000"/>
        <rFont val="Lato"/>
      </rPr>
      <t>Geo-composite behind abutments</t>
    </r>
    <r>
      <rPr>
        <sz val="10"/>
        <color indexed="8"/>
        <rFont val="Lato"/>
      </rPr>
      <t>, wing walls, retaining walls and return walls complete as per Drawings and Technical Specifications.</t>
    </r>
  </si>
  <si>
    <t>Providing, planting and maintaining the avenue plantation and median plantation as per Specifications</t>
  </si>
  <si>
    <t>KM</t>
  </si>
  <si>
    <r>
      <t xml:space="preserve">Providing  and  Construction  of  </t>
    </r>
    <r>
      <rPr>
        <sz val="10"/>
        <color rgb="FFFF0000"/>
        <rFont val="Lato"/>
      </rPr>
      <t>Cement  Treated  base</t>
    </r>
    <r>
      <rPr>
        <sz val="10"/>
        <rFont val="LATO"/>
      </rPr>
      <t xml:space="preserve">  with  approved  material complete as per MORTH Technical Specification Clause No. 406</t>
    </r>
  </si>
  <si>
    <r>
      <t xml:space="preserve">Providing, cutting, bending and fixing in position of </t>
    </r>
    <r>
      <rPr>
        <sz val="11"/>
        <color rgb="FFFF0000"/>
        <rFont val="Cambria"/>
        <family val="1"/>
      </rPr>
      <t>HYSD bar</t>
    </r>
    <r>
      <rPr>
        <sz val="11"/>
        <color theme="1"/>
        <rFont val="Cambria"/>
        <family val="1"/>
      </rPr>
      <t xml:space="preserve">  reinforcement in reinforced concrete structures complete as per drawing and Technical Specifications Section 1600</t>
    </r>
  </si>
  <si>
    <t>Retaining wall</t>
  </si>
  <si>
    <t>Previou Month</t>
  </si>
  <si>
    <t>This month</t>
  </si>
  <si>
    <t>PACKAGE-02 Progress With BOQ Quantity As on 30.09.2025</t>
  </si>
  <si>
    <t>Concrete Quantity up to 19.01.2025</t>
  </si>
  <si>
    <t>Structure Qty</t>
  </si>
  <si>
    <t>Grade of Concrete</t>
  </si>
  <si>
    <t>S No</t>
  </si>
  <si>
    <t>Structure</t>
  </si>
  <si>
    <t>Chainage</t>
  </si>
  <si>
    <t>Side</t>
  </si>
  <si>
    <t>PCC</t>
  </si>
  <si>
    <t>Raft</t>
  </si>
  <si>
    <t>Wall</t>
  </si>
  <si>
    <t>Cap</t>
  </si>
  <si>
    <t>Slab</t>
  </si>
  <si>
    <t>M-10</t>
  </si>
  <si>
    <t>M-15</t>
  </si>
  <si>
    <t>M-20</t>
  </si>
  <si>
    <t>M-25</t>
  </si>
  <si>
    <t>M-30</t>
  </si>
  <si>
    <t>M-35</t>
  </si>
  <si>
    <t>M-40</t>
  </si>
  <si>
    <t>M-45</t>
  </si>
  <si>
    <t>M-50</t>
  </si>
  <si>
    <t>PMS No</t>
  </si>
  <si>
    <t>VUP</t>
  </si>
  <si>
    <t>Foundation</t>
  </si>
  <si>
    <t>A1-LHS</t>
  </si>
  <si>
    <t>A1-RHS</t>
  </si>
  <si>
    <t>A2-LHS</t>
  </si>
  <si>
    <t>A2-RHS</t>
  </si>
  <si>
    <t>Sub Structure</t>
  </si>
  <si>
    <t>BHS</t>
  </si>
  <si>
    <t xml:space="preserve">Casting of Girder </t>
  </si>
  <si>
    <t>Super Structure</t>
  </si>
  <si>
    <t>LHS</t>
  </si>
  <si>
    <t>RHS</t>
  </si>
  <si>
    <t>40+713</t>
  </si>
  <si>
    <t>Toe wall / Retaining wall</t>
  </si>
  <si>
    <t>Box Culverts</t>
  </si>
  <si>
    <t>Hume Pipe Culverts</t>
  </si>
  <si>
    <t>Head wall</t>
  </si>
  <si>
    <t>Head Wall</t>
  </si>
  <si>
    <t>Drain</t>
  </si>
  <si>
    <t>RCC Drain</t>
  </si>
  <si>
    <t>U-Type Drain</t>
  </si>
  <si>
    <t>Boundary wall / Boundary Stones</t>
  </si>
  <si>
    <t>Footing</t>
  </si>
  <si>
    <t>Plinth Beam</t>
  </si>
  <si>
    <t>Panel</t>
  </si>
  <si>
    <t>Column</t>
  </si>
  <si>
    <t>RE Panel Casting</t>
  </si>
  <si>
    <t>F4</t>
  </si>
  <si>
    <t>B2</t>
  </si>
  <si>
    <t>T2</t>
  </si>
  <si>
    <t>F4B</t>
  </si>
  <si>
    <t>F6B</t>
  </si>
  <si>
    <t>F4C</t>
  </si>
  <si>
    <t>F6C</t>
  </si>
  <si>
    <t>F4D</t>
  </si>
  <si>
    <t>F6D</t>
  </si>
  <si>
    <t>F4E</t>
  </si>
  <si>
    <t>F2E</t>
  </si>
  <si>
    <t>F6E</t>
  </si>
  <si>
    <t>Corner Panel</t>
  </si>
  <si>
    <t>NHAI Logo</t>
  </si>
  <si>
    <t>Coloumn</t>
  </si>
  <si>
    <r>
      <t xml:space="preserve">a) </t>
    </r>
    <r>
      <rPr>
        <sz val="11"/>
        <color rgb="FFFF0000"/>
        <rFont val="Cambria"/>
        <family val="1"/>
      </rPr>
      <t>Subgrade</t>
    </r>
    <r>
      <rPr>
        <sz val="11"/>
        <rFont val="Cambria"/>
        <family val="1"/>
      </rPr>
      <t xml:space="preserve"> with approved material obtained from approved borrow areas</t>
    </r>
  </si>
  <si>
    <r>
      <t xml:space="preserve">Providing and Construction of </t>
    </r>
    <r>
      <rPr>
        <sz val="11"/>
        <color rgb="FFFF0000"/>
        <rFont val="Cambria"/>
        <family val="1"/>
      </rPr>
      <t>Granular Sub-base</t>
    </r>
    <r>
      <rPr>
        <sz val="11"/>
        <rFont val="Cambria"/>
        <family val="1"/>
      </rPr>
      <t xml:space="preserve"> (Grade VI) by Mix in Place method, complete as per drawing and Technical Specifications Clause 401.</t>
    </r>
  </si>
  <si>
    <r>
      <t xml:space="preserve">Providing  and  Construction  of  </t>
    </r>
    <r>
      <rPr>
        <sz val="11"/>
        <color rgb="FFFF0000"/>
        <rFont val="Lato"/>
      </rPr>
      <t>Cement  Treated  base</t>
    </r>
    <r>
      <rPr>
        <sz val="11"/>
        <rFont val="LATO"/>
      </rPr>
      <t xml:space="preserve">  with  approved  material complete as per MORTH Technical Specification Clause No. 406</t>
    </r>
  </si>
  <si>
    <r>
      <t xml:space="preserve">Providing  and  Construction  of  wet  mix  macadam  </t>
    </r>
    <r>
      <rPr>
        <sz val="11"/>
        <color rgb="FFFF0000"/>
        <rFont val="Cambria"/>
        <family val="1"/>
      </rPr>
      <t xml:space="preserve">(WMM) </t>
    </r>
    <r>
      <rPr>
        <sz val="11"/>
        <rFont val="Cambria"/>
        <family val="1"/>
      </rPr>
      <t xml:space="preserve"> base  with  approved material complete as per MORTH Technical Specification Clause No. 406</t>
    </r>
  </si>
  <si>
    <r>
      <t xml:space="preserve">Providing and Construction of Aggregate Interlocking Layer </t>
    </r>
    <r>
      <rPr>
        <sz val="11"/>
        <color rgb="FFFF0000"/>
        <rFont val="Cambria"/>
        <family val="1"/>
      </rPr>
      <t>(AIL)</t>
    </r>
    <r>
      <rPr>
        <sz val="11"/>
        <rFont val="Cambria"/>
        <family val="1"/>
      </rPr>
      <t xml:space="preserve"> with approved material complete as per MORTH Technical Specification Clause No. 406</t>
    </r>
  </si>
  <si>
    <r>
      <t>Providing and Construction of Cement Treated Sub-base(Grade IV) by Mix in Place method, complete as per drawing and Technical Specifications Clause 401.</t>
    </r>
    <r>
      <rPr>
        <sz val="11"/>
        <color rgb="FFFF0000"/>
        <rFont val="Cambria"/>
        <family val="1"/>
      </rPr>
      <t>CTSB</t>
    </r>
  </si>
  <si>
    <r>
      <t xml:space="preserve">Providing and laying </t>
    </r>
    <r>
      <rPr>
        <sz val="11"/>
        <color rgb="FFFF0000"/>
        <rFont val="Cambria"/>
        <family val="1"/>
      </rPr>
      <t>Prime coat</t>
    </r>
    <r>
      <rPr>
        <sz val="11"/>
        <rFont val="Cambria"/>
        <family val="1"/>
      </rPr>
      <t xml:space="preserve"> over granular surface as per drawing and technical specifications.</t>
    </r>
  </si>
  <si>
    <r>
      <t xml:space="preserve">Providing and applying bituminous </t>
    </r>
    <r>
      <rPr>
        <sz val="11"/>
        <color rgb="FFFF0000"/>
        <rFont val="Cambria"/>
        <family val="1"/>
      </rPr>
      <t>Tack coat</t>
    </r>
    <r>
      <rPr>
        <sz val="11"/>
        <rFont val="Cambria"/>
        <family val="1"/>
      </rPr>
      <t xml:space="preserve"> @ 2.0 to 3.0 kg /10 sqm over prepared bituminous surface with bituminous emulsion all complete as per Technical Specification Clause 503</t>
    </r>
  </si>
  <si>
    <r>
      <t>Providing and laying Dense Bituminous Macadam (</t>
    </r>
    <r>
      <rPr>
        <sz val="11"/>
        <color rgb="FFFF0000"/>
        <rFont val="Cambria"/>
        <family val="1"/>
      </rPr>
      <t>DBM with VG-40,</t>
    </r>
    <r>
      <rPr>
        <sz val="11"/>
        <rFont val="Cambria"/>
        <family val="1"/>
      </rPr>
      <t xml:space="preserve"> grading-2) course complete as per MoRTH Technical Specification Clause Nos 501 &amp; 505.</t>
    </r>
  </si>
  <si>
    <r>
      <t xml:space="preserve">Providing and Laying Reinforced cement concrete for Box / Slab culverts in </t>
    </r>
    <r>
      <rPr>
        <sz val="11"/>
        <color rgb="FFFF0000"/>
        <rFont val="Cambria"/>
        <family val="1"/>
      </rPr>
      <t>Superstructure</t>
    </r>
    <r>
      <rPr>
        <sz val="11"/>
        <color theme="1"/>
        <rFont val="Cambria"/>
        <family val="1"/>
      </rPr>
      <t xml:space="preserve"> excluding cost of steel complete as per drawing and Technical Specifications Sections 1500, 1700 and 2300.</t>
    </r>
  </si>
  <si>
    <r>
      <t xml:space="preserve">a) RCC Grade </t>
    </r>
    <r>
      <rPr>
        <sz val="11"/>
        <color rgb="FFFF0000"/>
        <rFont val="Cambria"/>
        <family val="1"/>
      </rPr>
      <t>M 30</t>
    </r>
  </si>
  <si>
    <r>
      <t>a)</t>
    </r>
    <r>
      <rPr>
        <sz val="11"/>
        <color rgb="FFFF0000"/>
        <rFont val="Cambria"/>
        <family val="1"/>
      </rPr>
      <t xml:space="preserve"> RCC M30</t>
    </r>
  </si>
  <si>
    <r>
      <t>b)</t>
    </r>
    <r>
      <rPr>
        <sz val="11"/>
        <color rgb="FFFF0000"/>
        <rFont val="Cambria"/>
        <family val="1"/>
      </rPr>
      <t xml:space="preserve"> RCC M35</t>
    </r>
  </si>
  <si>
    <r>
      <t xml:space="preserve">d) RCC </t>
    </r>
    <r>
      <rPr>
        <sz val="11"/>
        <color rgb="FFFF0000"/>
        <rFont val="Cambria"/>
        <family val="1"/>
      </rPr>
      <t>M45, Cast in situ</t>
    </r>
  </si>
  <si>
    <r>
      <t xml:space="preserve">Providing and erecting a </t>
    </r>
    <r>
      <rPr>
        <sz val="11"/>
        <color rgb="FFFF0000"/>
        <rFont val="Cambria"/>
        <family val="1"/>
      </rPr>
      <t>"Thrie" metal beam crash barrier</t>
    </r>
    <r>
      <rPr>
        <sz val="11"/>
        <color rgb="FF000000"/>
        <rFont val="Cambria"/>
        <family val="1"/>
      </rPr>
      <t xml:space="preserve"> comprising of 3 mm thick corrugated sheet metal beam rail, 85 cm above road/ground level, fixed on ISMC series channel vertical post, 150 x 75 x 5 mm spaced 2 m centre to centre, 2 m high with 1.15 m below ground level, all steel parts and fitments to be galvanised by hot dip process, all fittings to conform to IS:1367 and IS:1364, metal beam rail to be fixed on the vertical post with a space of channel section 150 x 75 x 5 mm, 546 mm long complete as per clause 810</t>
    </r>
  </si>
  <si>
    <r>
      <t>Providing and constructing</t>
    </r>
    <r>
      <rPr>
        <sz val="11"/>
        <color rgb="FFFF0000"/>
        <rFont val="Lato"/>
      </rPr>
      <t xml:space="preserve"> RCC crash barrier M-40</t>
    </r>
    <r>
      <rPr>
        <sz val="11"/>
        <rFont val="LATO"/>
      </rPr>
      <t xml:space="preserve"> grade including cost of centering, shuttering and reinforcement as per approved Drawings and  Technical Specifications 811,1500, 1600, 1700 and as per IRC-6.</t>
    </r>
  </si>
  <si>
    <r>
      <t xml:space="preserve">Providing and constructing </t>
    </r>
    <r>
      <rPr>
        <sz val="11"/>
        <color rgb="FFFF0000"/>
        <rFont val="Lato"/>
      </rPr>
      <t>Geo-composite behind abutments</t>
    </r>
    <r>
      <rPr>
        <sz val="11"/>
        <color indexed="8"/>
        <rFont val="Lato"/>
      </rPr>
      <t>, wing walls, retaining walls and return walls complete as per Drawings and Technical Specifications.</t>
    </r>
  </si>
  <si>
    <t>HT/LT lines (including Transformers if any)</t>
  </si>
  <si>
    <t>1cum</t>
  </si>
  <si>
    <t>132KG</t>
  </si>
  <si>
    <r>
      <t xml:space="preserve">Providing and laying Dry lean cement concrete </t>
    </r>
    <r>
      <rPr>
        <b/>
        <sz val="10"/>
        <color rgb="FFFF0000"/>
        <rFont val="LATO"/>
      </rPr>
      <t>(DLC</t>
    </r>
    <r>
      <rPr>
        <sz val="10"/>
        <rFont val="LATO"/>
      </rPr>
      <t>) as per Table 600-1of Technical Specification Clause 601 with a minimum cement content of 150kg/Cum</t>
    </r>
  </si>
  <si>
    <r>
      <t xml:space="preserve">Providing un-reinforced, dowel jointed, Pavement Quality Concrete </t>
    </r>
    <r>
      <rPr>
        <b/>
        <sz val="10"/>
        <color rgb="FFFF0000"/>
        <rFont val="LATO"/>
      </rPr>
      <t>(PQC) of M40 grade</t>
    </r>
    <r>
      <rPr>
        <sz val="10"/>
        <rFont val="LATO"/>
      </rPr>
      <t xml:space="preserve"> concrete with minimum cement content of 400kg/Cum, including all costs of jointing, edge cutting, dowel bars etc., all complete as per drawing and Technical Specification Clause 602</t>
    </r>
  </si>
  <si>
    <r>
      <t>Providing and laying Dense Bituminous Macadam (</t>
    </r>
    <r>
      <rPr>
        <b/>
        <sz val="11"/>
        <color rgb="FFFF0000"/>
        <rFont val="Cambria"/>
        <family val="1"/>
      </rPr>
      <t>BC with CRMB-60, grading-2</t>
    </r>
    <r>
      <rPr>
        <sz val="11"/>
        <rFont val="Cambria"/>
        <family val="1"/>
      </rPr>
      <t>) course complete as per MoRTH Technical Specification Clause Nos 501 &amp; 505.</t>
    </r>
  </si>
  <si>
    <t>tollplaza</t>
  </si>
  <si>
    <t>SG Top</t>
  </si>
  <si>
    <t>GSB</t>
  </si>
  <si>
    <t>DLC</t>
  </si>
  <si>
    <t>Slip Road/Service Road &amp; Toll plaza</t>
  </si>
  <si>
    <t>Filter Media</t>
  </si>
  <si>
    <t>Geogride laying on (SG Top layer &amp; GSB Top)</t>
  </si>
  <si>
    <t>PACKAGE-02 Progress With BOQ Quantity As on 31.03.2026</t>
  </si>
</sst>
</file>

<file path=xl/styles.xml><?xml version="1.0" encoding="utf-8"?>
<styleSheet xmlns="http://schemas.openxmlformats.org/spreadsheetml/2006/main">
  <numFmts count="12">
    <numFmt numFmtId="43" formatCode="_ * #,##0.00_ ;_ * \-#,##0.00_ ;_ * &quot;-&quot;??_ ;_ @_ "/>
    <numFmt numFmtId="164" formatCode="_(* #,##0.00_);_(* \(#,##0.00\);_(* &quot;-&quot;??_);_(@_)"/>
    <numFmt numFmtId="165" formatCode="_ * #,##0_ ;_ * \-#,##0_ ;_ * &quot;-&quot;??_ ;_ @_ "/>
    <numFmt numFmtId="166" formatCode="0.000%"/>
    <numFmt numFmtId="167" formatCode="_ * #,##0.0_ ;_ * \-#,##0.0_ ;_ * &quot;-&quot;??_ ;_ @_ "/>
    <numFmt numFmtId="168" formatCode="0.0000"/>
    <numFmt numFmtId="169" formatCode="_-* #,##0_-;\-* #,##0_-;_-* &quot;-&quot;??_-;_-@_-"/>
    <numFmt numFmtId="170" formatCode="_ * #,##0.000_ ;_ * \-#,##0.000_ ;_ * &quot;-&quot;??_ ;_ @_ "/>
    <numFmt numFmtId="171" formatCode="0\+000"/>
    <numFmt numFmtId="172" formatCode="0.000"/>
    <numFmt numFmtId="173" formatCode="00\+000"/>
    <numFmt numFmtId="174" formatCode="0_)"/>
  </numFmts>
  <fonts count="44">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
      <sz val="10"/>
      <name val="Arial"/>
      <family val="2"/>
    </font>
    <font>
      <sz val="10"/>
      <color theme="1"/>
      <name val="Lato"/>
    </font>
    <font>
      <sz val="10"/>
      <name val="LATO"/>
    </font>
    <font>
      <b/>
      <sz val="11"/>
      <name val="Calibri"/>
      <family val="2"/>
      <scheme val="minor"/>
    </font>
    <font>
      <sz val="11"/>
      <color indexed="8"/>
      <name val="Calibri"/>
      <family val="2"/>
    </font>
    <font>
      <sz val="10"/>
      <color rgb="FFFF0000"/>
      <name val="Lato"/>
    </font>
    <font>
      <b/>
      <sz val="12"/>
      <color theme="1"/>
      <name val="Calibri"/>
      <family val="2"/>
      <scheme val="minor"/>
    </font>
    <font>
      <b/>
      <sz val="14"/>
      <color theme="1"/>
      <name val="Calibri"/>
      <family val="2"/>
      <scheme val="minor"/>
    </font>
    <font>
      <b/>
      <sz val="16"/>
      <color theme="1"/>
      <name val="Calibri"/>
      <family val="2"/>
      <scheme val="minor"/>
    </font>
    <font>
      <sz val="11"/>
      <color theme="0"/>
      <name val="Calibri"/>
      <family val="2"/>
      <scheme val="minor"/>
    </font>
    <font>
      <b/>
      <sz val="16"/>
      <color theme="1"/>
      <name val="Cambria"/>
      <family val="1"/>
    </font>
    <font>
      <sz val="11"/>
      <name val="Cambria"/>
      <family val="1"/>
    </font>
    <font>
      <sz val="11"/>
      <color theme="1"/>
      <name val="Cambria"/>
      <family val="1"/>
    </font>
    <font>
      <b/>
      <sz val="14"/>
      <color theme="1"/>
      <name val="Cambria"/>
      <family val="1"/>
    </font>
    <font>
      <b/>
      <sz val="11"/>
      <color theme="1"/>
      <name val="Cambria"/>
      <family val="1"/>
    </font>
    <font>
      <sz val="10"/>
      <name val="Cambria"/>
      <family val="1"/>
    </font>
    <font>
      <sz val="11"/>
      <color rgb="FFFF0000"/>
      <name val="Cambria"/>
      <family val="1"/>
    </font>
    <font>
      <sz val="10"/>
      <color rgb="FFFF0000"/>
      <name val="Cambria"/>
      <family val="1"/>
    </font>
    <font>
      <b/>
      <sz val="12"/>
      <color theme="1"/>
      <name val="Cambria"/>
      <family val="1"/>
    </font>
    <font>
      <sz val="10"/>
      <color theme="1"/>
      <name val="Cambria"/>
      <family val="1"/>
    </font>
    <font>
      <sz val="11"/>
      <color theme="0"/>
      <name val="Cambria"/>
      <family val="1"/>
    </font>
    <font>
      <sz val="10"/>
      <color rgb="FF000000"/>
      <name val="Cambria"/>
      <family val="1"/>
    </font>
    <font>
      <b/>
      <sz val="10"/>
      <color theme="1"/>
      <name val="Cambria"/>
      <family val="1"/>
    </font>
    <font>
      <b/>
      <sz val="9"/>
      <color theme="1"/>
      <name val="Cambria"/>
      <family val="1"/>
    </font>
    <font>
      <sz val="10"/>
      <color indexed="8"/>
      <name val="Lato"/>
    </font>
    <font>
      <b/>
      <sz val="10"/>
      <name val="Cambria"/>
      <family val="1"/>
    </font>
    <font>
      <b/>
      <sz val="11"/>
      <name val="Cambria"/>
      <family val="1"/>
    </font>
    <font>
      <sz val="10"/>
      <name val="Century Gothic"/>
      <family val="2"/>
    </font>
    <font>
      <sz val="11"/>
      <name val="LATO"/>
    </font>
    <font>
      <sz val="11"/>
      <color rgb="FFFF0000"/>
      <name val="Lato"/>
    </font>
    <font>
      <sz val="11"/>
      <color rgb="FF000000"/>
      <name val="Cambria"/>
      <family val="1"/>
    </font>
    <font>
      <sz val="11"/>
      <color indexed="8"/>
      <name val="Lato"/>
    </font>
    <font>
      <sz val="10"/>
      <color rgb="FF000000"/>
      <name val="Times New Roman"/>
      <family val="1"/>
    </font>
    <font>
      <sz val="11"/>
      <name val="Calibri"/>
      <family val="2"/>
    </font>
    <font>
      <b/>
      <sz val="14"/>
      <name val="Cambria"/>
      <family val="1"/>
    </font>
    <font>
      <sz val="9"/>
      <color theme="1"/>
      <name val="Cambria"/>
      <family val="1"/>
    </font>
    <font>
      <sz val="9"/>
      <color theme="1"/>
      <name val="Calibri"/>
      <family val="2"/>
      <scheme val="minor"/>
    </font>
    <font>
      <b/>
      <sz val="10"/>
      <color rgb="FFFF0000"/>
      <name val="LATO"/>
    </font>
    <font>
      <b/>
      <sz val="11"/>
      <color rgb="FFFF0000"/>
      <name val="Cambria"/>
      <family val="1"/>
    </font>
  </fonts>
  <fills count="7">
    <fill>
      <patternFill patternType="none"/>
    </fill>
    <fill>
      <patternFill patternType="gray125"/>
    </fill>
    <fill>
      <patternFill patternType="solid">
        <fgColor theme="5" tint="0.79998168889431442"/>
        <bgColor indexed="64"/>
      </patternFill>
    </fill>
    <fill>
      <patternFill patternType="solid">
        <fgColor theme="4" tint="0.59999389629810485"/>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79998168889431442"/>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style="thin">
        <color indexed="64"/>
      </top>
      <bottom style="thin">
        <color indexed="64"/>
      </bottom>
      <diagonal/>
    </border>
    <border>
      <left/>
      <right/>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hair">
        <color auto="1"/>
      </bottom>
      <diagonal/>
    </border>
    <border>
      <left style="thin">
        <color auto="1"/>
      </left>
      <right/>
      <top style="thin">
        <color auto="1"/>
      </top>
      <bottom style="hair">
        <color auto="1"/>
      </bottom>
      <diagonal/>
    </border>
    <border>
      <left style="thin">
        <color auto="1"/>
      </left>
      <right style="medium">
        <color auto="1"/>
      </right>
      <top style="thin">
        <color auto="1"/>
      </top>
      <bottom style="hair">
        <color auto="1"/>
      </bottom>
      <diagonal/>
    </border>
    <border>
      <left style="medium">
        <color auto="1"/>
      </left>
      <right style="medium">
        <color auto="1"/>
      </right>
      <top style="thin">
        <color auto="1"/>
      </top>
      <bottom style="hair">
        <color auto="1"/>
      </bottom>
      <diagonal/>
    </border>
    <border>
      <left style="medium">
        <color auto="1"/>
      </left>
      <right style="thin">
        <color auto="1"/>
      </right>
      <top style="thin">
        <color auto="1"/>
      </top>
      <bottom style="hair">
        <color auto="1"/>
      </bottom>
      <diagonal/>
    </border>
    <border>
      <left style="thin">
        <color auto="1"/>
      </left>
      <right style="thin">
        <color auto="1"/>
      </right>
      <top style="hair">
        <color auto="1"/>
      </top>
      <bottom style="hair">
        <color auto="1"/>
      </bottom>
      <diagonal/>
    </border>
    <border>
      <left style="thin">
        <color auto="1"/>
      </left>
      <right/>
      <top style="hair">
        <color auto="1"/>
      </top>
      <bottom style="hair">
        <color auto="1"/>
      </bottom>
      <diagonal/>
    </border>
    <border>
      <left style="thin">
        <color auto="1"/>
      </left>
      <right style="medium">
        <color auto="1"/>
      </right>
      <top style="hair">
        <color auto="1"/>
      </top>
      <bottom style="hair">
        <color auto="1"/>
      </bottom>
      <diagonal/>
    </border>
    <border>
      <left style="medium">
        <color auto="1"/>
      </left>
      <right style="medium">
        <color auto="1"/>
      </right>
      <top style="hair">
        <color auto="1"/>
      </top>
      <bottom style="hair">
        <color auto="1"/>
      </bottom>
      <diagonal/>
    </border>
    <border>
      <left style="medium">
        <color auto="1"/>
      </left>
      <right style="thin">
        <color auto="1"/>
      </right>
      <top style="hair">
        <color auto="1"/>
      </top>
      <bottom style="hair">
        <color auto="1"/>
      </bottom>
      <diagonal/>
    </border>
    <border>
      <left style="thin">
        <color auto="1"/>
      </left>
      <right style="thin">
        <color auto="1"/>
      </right>
      <top style="hair">
        <color auto="1"/>
      </top>
      <bottom/>
      <diagonal/>
    </border>
    <border>
      <left style="thin">
        <color auto="1"/>
      </left>
      <right/>
      <top style="hair">
        <color auto="1"/>
      </top>
      <bottom/>
      <diagonal/>
    </border>
    <border>
      <left style="thin">
        <color auto="1"/>
      </left>
      <right style="medium">
        <color auto="1"/>
      </right>
      <top style="hair">
        <color auto="1"/>
      </top>
      <bottom/>
      <diagonal/>
    </border>
    <border>
      <left style="medium">
        <color auto="1"/>
      </left>
      <right style="medium">
        <color auto="1"/>
      </right>
      <top style="hair">
        <color auto="1"/>
      </top>
      <bottom/>
      <diagonal/>
    </border>
    <border>
      <left style="medium">
        <color auto="1"/>
      </left>
      <right style="thin">
        <color auto="1"/>
      </right>
      <top style="hair">
        <color auto="1"/>
      </top>
      <bottom/>
      <diagonal/>
    </border>
    <border>
      <left style="thin">
        <color auto="1"/>
      </left>
      <right style="thin">
        <color auto="1"/>
      </right>
      <top style="hair">
        <color auto="1"/>
      </top>
      <bottom style="thin">
        <color auto="1"/>
      </bottom>
      <diagonal/>
    </border>
    <border>
      <left style="thin">
        <color auto="1"/>
      </left>
      <right/>
      <top style="hair">
        <color auto="1"/>
      </top>
      <bottom style="thin">
        <color auto="1"/>
      </bottom>
      <diagonal/>
    </border>
    <border>
      <left style="thin">
        <color auto="1"/>
      </left>
      <right style="medium">
        <color auto="1"/>
      </right>
      <top style="hair">
        <color auto="1"/>
      </top>
      <bottom style="thin">
        <color auto="1"/>
      </bottom>
      <diagonal/>
    </border>
    <border>
      <left style="medium">
        <color auto="1"/>
      </left>
      <right style="medium">
        <color auto="1"/>
      </right>
      <top style="hair">
        <color auto="1"/>
      </top>
      <bottom style="thin">
        <color auto="1"/>
      </bottom>
      <diagonal/>
    </border>
    <border>
      <left style="medium">
        <color auto="1"/>
      </left>
      <right style="thin">
        <color auto="1"/>
      </right>
      <top style="hair">
        <color auto="1"/>
      </top>
      <bottom style="thin">
        <color auto="1"/>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168" fontId="5" fillId="0" borderId="0" applyFont="0" applyFill="0" applyBorder="0" applyAlignment="0" applyProtection="0"/>
    <xf numFmtId="0" fontId="5" fillId="0" borderId="0"/>
    <xf numFmtId="0" fontId="9" fillId="0" borderId="0"/>
    <xf numFmtId="169" fontId="5" fillId="0" borderId="0" applyFont="0" applyFill="0" applyBorder="0" applyAlignment="0" applyProtection="0"/>
    <xf numFmtId="0" fontId="5" fillId="0" borderId="0"/>
    <xf numFmtId="169" fontId="5" fillId="0" borderId="0" applyFont="0" applyFill="0" applyBorder="0" applyAlignment="0" applyProtection="0"/>
    <xf numFmtId="0" fontId="37" fillId="0" borderId="0"/>
  </cellStyleXfs>
  <cellXfs count="393">
    <xf numFmtId="0" fontId="0" fillId="0" borderId="0" xfId="0"/>
    <xf numFmtId="0" fontId="0" fillId="0" borderId="1" xfId="0" applyBorder="1"/>
    <xf numFmtId="0" fontId="0" fillId="0" borderId="1" xfId="0" applyBorder="1" applyAlignment="1">
      <alignment wrapText="1"/>
    </xf>
    <xf numFmtId="165" fontId="0" fillId="0" borderId="1" xfId="1" applyNumberFormat="1" applyFont="1" applyBorder="1"/>
    <xf numFmtId="0" fontId="0" fillId="0" borderId="1" xfId="0" applyBorder="1" applyAlignment="1">
      <alignment horizontal="left" vertical="center" wrapText="1"/>
    </xf>
    <xf numFmtId="0" fontId="2" fillId="0" borderId="1" xfId="0" applyFont="1" applyBorder="1"/>
    <xf numFmtId="0" fontId="0" fillId="0" borderId="1" xfId="0" applyBorder="1" applyAlignment="1">
      <alignment horizontal="center" vertical="center"/>
    </xf>
    <xf numFmtId="0" fontId="2" fillId="0" borderId="1" xfId="0" applyFont="1" applyBorder="1" applyAlignment="1">
      <alignment horizontal="center" vertical="center"/>
    </xf>
    <xf numFmtId="165" fontId="2" fillId="0" borderId="1" xfId="0" applyNumberFormat="1" applyFont="1" applyBorder="1"/>
    <xf numFmtId="43" fontId="2" fillId="0" borderId="1" xfId="1" applyFont="1" applyBorder="1"/>
    <xf numFmtId="165" fontId="2" fillId="0" borderId="1" xfId="1" applyNumberFormat="1" applyFont="1" applyFill="1" applyBorder="1"/>
    <xf numFmtId="43" fontId="0" fillId="0" borderId="1" xfId="1" applyFont="1" applyBorder="1"/>
    <xf numFmtId="166" fontId="2" fillId="0" borderId="1" xfId="2" applyNumberFormat="1" applyFont="1" applyBorder="1"/>
    <xf numFmtId="10" fontId="2" fillId="0" borderId="1" xfId="2" applyNumberFormat="1" applyFont="1" applyBorder="1"/>
    <xf numFmtId="0" fontId="0" fillId="0" borderId="0" xfId="0" applyAlignment="1">
      <alignment wrapText="1"/>
    </xf>
    <xf numFmtId="165" fontId="0" fillId="0" borderId="0" xfId="1" applyNumberFormat="1" applyFont="1" applyBorder="1"/>
    <xf numFmtId="165" fontId="0" fillId="0" borderId="1" xfId="1" applyNumberFormat="1" applyFont="1" applyFill="1" applyBorder="1"/>
    <xf numFmtId="165" fontId="3" fillId="0" borderId="1" xfId="1" applyNumberFormat="1" applyFont="1" applyFill="1" applyBorder="1"/>
    <xf numFmtId="165" fontId="0" fillId="0" borderId="0" xfId="0" applyNumberFormat="1"/>
    <xf numFmtId="165" fontId="0" fillId="0" borderId="0" xfId="1" applyNumberFormat="1" applyFont="1"/>
    <xf numFmtId="43" fontId="0" fillId="0" borderId="0" xfId="0" applyNumberFormat="1"/>
    <xf numFmtId="165" fontId="3" fillId="0" borderId="0" xfId="1" applyNumberFormat="1" applyFont="1" applyFill="1" applyBorder="1"/>
    <xf numFmtId="0" fontId="0" fillId="0" borderId="2" xfId="0" applyBorder="1"/>
    <xf numFmtId="165" fontId="0" fillId="0" borderId="2" xfId="1" applyNumberFormat="1" applyFont="1" applyBorder="1"/>
    <xf numFmtId="165" fontId="4" fillId="0" borderId="1" xfId="1" applyNumberFormat="1" applyFont="1" applyFill="1" applyBorder="1"/>
    <xf numFmtId="167" fontId="4" fillId="0" borderId="1" xfId="1" applyNumberFormat="1" applyFont="1" applyFill="1" applyBorder="1"/>
    <xf numFmtId="165" fontId="4" fillId="0" borderId="1" xfId="1" applyNumberFormat="1" applyFont="1" applyBorder="1"/>
    <xf numFmtId="0" fontId="6" fillId="0" borderId="1" xfId="3" applyFont="1" applyBorder="1" applyAlignment="1">
      <alignment vertical="center" wrapText="1"/>
    </xf>
    <xf numFmtId="164" fontId="7" fillId="0" borderId="3" xfId="4" applyNumberFormat="1" applyFont="1" applyFill="1" applyBorder="1" applyAlignment="1">
      <alignment horizontal="center" vertical="center" wrapText="1"/>
    </xf>
    <xf numFmtId="2" fontId="7" fillId="0" borderId="4" xfId="3" applyNumberFormat="1" applyFont="1" applyBorder="1" applyAlignment="1">
      <alignment horizontal="center" vertical="center"/>
    </xf>
    <xf numFmtId="2" fontId="6" fillId="0" borderId="1" xfId="5" applyNumberFormat="1" applyFont="1" applyBorder="1" applyAlignment="1">
      <alignment vertical="center" wrapText="1"/>
    </xf>
    <xf numFmtId="0" fontId="6" fillId="0" borderId="1" xfId="3" applyFont="1" applyBorder="1" applyAlignment="1">
      <alignment vertical="center"/>
    </xf>
    <xf numFmtId="0" fontId="7" fillId="0" borderId="1" xfId="3" applyFont="1" applyBorder="1" applyAlignment="1">
      <alignment vertical="center"/>
    </xf>
    <xf numFmtId="2" fontId="0" fillId="0" borderId="2" xfId="0" applyNumberFormat="1" applyBorder="1"/>
    <xf numFmtId="2" fontId="7" fillId="0" borderId="1" xfId="5" applyNumberFormat="1" applyFont="1" applyBorder="1" applyAlignment="1">
      <alignment vertical="center" wrapText="1"/>
    </xf>
    <xf numFmtId="165" fontId="8" fillId="0" borderId="1" xfId="1" applyNumberFormat="1" applyFont="1" applyBorder="1"/>
    <xf numFmtId="165" fontId="3" fillId="0" borderId="1" xfId="1" applyNumberFormat="1" applyFont="1" applyBorder="1"/>
    <xf numFmtId="167" fontId="3" fillId="0" borderId="1" xfId="1" applyNumberFormat="1" applyFont="1" applyFill="1" applyBorder="1"/>
    <xf numFmtId="0" fontId="3" fillId="0" borderId="1" xfId="0" applyFont="1" applyBorder="1"/>
    <xf numFmtId="165" fontId="3" fillId="0" borderId="2" xfId="1" applyNumberFormat="1" applyFont="1" applyBorder="1"/>
    <xf numFmtId="0" fontId="7" fillId="0" borderId="1" xfId="3" applyFont="1" applyBorder="1" applyAlignment="1">
      <alignment vertical="center" wrapText="1"/>
    </xf>
    <xf numFmtId="0" fontId="7" fillId="0" borderId="5" xfId="3" applyFont="1" applyBorder="1" applyAlignment="1">
      <alignment horizontal="center" vertical="center" wrapText="1"/>
    </xf>
    <xf numFmtId="0" fontId="7" fillId="0" borderId="6" xfId="3" applyFont="1" applyBorder="1" applyAlignment="1">
      <alignment vertical="center" wrapText="1"/>
    </xf>
    <xf numFmtId="0" fontId="3" fillId="0" borderId="1" xfId="0" applyFont="1" applyBorder="1" applyAlignment="1">
      <alignment wrapText="1"/>
    </xf>
    <xf numFmtId="165" fontId="1" fillId="0" borderId="1" xfId="1" applyNumberFormat="1" applyFont="1" applyBorder="1"/>
    <xf numFmtId="0" fontId="2"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11" fillId="3" borderId="1" xfId="0" applyFont="1" applyFill="1" applyBorder="1" applyAlignment="1">
      <alignment horizontal="center"/>
    </xf>
    <xf numFmtId="0" fontId="12" fillId="3" borderId="1" xfId="0" applyFont="1" applyFill="1" applyBorder="1" applyAlignment="1">
      <alignment horizontal="center"/>
    </xf>
    <xf numFmtId="0" fontId="12" fillId="3" borderId="1" xfId="0" applyFont="1" applyFill="1" applyBorder="1" applyAlignment="1">
      <alignment horizontal="center" vertical="center"/>
    </xf>
    <xf numFmtId="1" fontId="7" fillId="0" borderId="4" xfId="3" applyNumberFormat="1" applyFont="1" applyBorder="1" applyAlignment="1">
      <alignment horizontal="center" vertical="center"/>
    </xf>
    <xf numFmtId="43" fontId="1" fillId="0" borderId="1" xfId="1" applyFont="1" applyBorder="1"/>
    <xf numFmtId="0" fontId="7" fillId="0" borderId="1" xfId="3" applyFont="1" applyBorder="1" applyAlignment="1">
      <alignment horizontal="left" vertical="center" wrapText="1"/>
    </xf>
    <xf numFmtId="0" fontId="7" fillId="0" borderId="6" xfId="3" applyFont="1" applyBorder="1" applyAlignment="1">
      <alignment horizontal="left" vertical="center" wrapText="1"/>
    </xf>
    <xf numFmtId="2" fontId="0" fillId="0" borderId="1" xfId="0" applyNumberFormat="1" applyBorder="1"/>
    <xf numFmtId="165" fontId="1" fillId="0" borderId="2" xfId="1" applyNumberFormat="1" applyFont="1" applyBorder="1"/>
    <xf numFmtId="0" fontId="11" fillId="0" borderId="0" xfId="0" applyFont="1"/>
    <xf numFmtId="0" fontId="0" fillId="0" borderId="0" xfId="0" applyAlignment="1">
      <alignment vertical="center"/>
    </xf>
    <xf numFmtId="0" fontId="2" fillId="0" borderId="9" xfId="0" applyFont="1" applyBorder="1" applyAlignment="1">
      <alignment wrapText="1"/>
    </xf>
    <xf numFmtId="10" fontId="0" fillId="0" borderId="0" xfId="2" applyNumberFormat="1" applyFont="1"/>
    <xf numFmtId="0" fontId="4" fillId="0" borderId="0" xfId="0" applyFont="1"/>
    <xf numFmtId="165" fontId="4" fillId="0" borderId="0" xfId="1" applyNumberFormat="1" applyFont="1"/>
    <xf numFmtId="165" fontId="4" fillId="0" borderId="0" xfId="0" applyNumberFormat="1" applyFont="1"/>
    <xf numFmtId="43" fontId="4" fillId="0" borderId="0" xfId="0" applyNumberFormat="1" applyFont="1"/>
    <xf numFmtId="0" fontId="0" fillId="0" borderId="1" xfId="0" applyBorder="1" applyAlignment="1">
      <alignment vertical="top" wrapText="1"/>
    </xf>
    <xf numFmtId="43" fontId="4" fillId="0" borderId="0" xfId="1" applyFont="1"/>
    <xf numFmtId="2" fontId="7" fillId="0" borderId="0" xfId="3" applyNumberFormat="1" applyFont="1" applyAlignment="1">
      <alignment horizontal="center" vertical="center"/>
    </xf>
    <xf numFmtId="9" fontId="4" fillId="0" borderId="0" xfId="2" applyFont="1"/>
    <xf numFmtId="0" fontId="11" fillId="3" borderId="1" xfId="0" applyFont="1" applyFill="1" applyBorder="1" applyAlignment="1">
      <alignment horizontal="center" vertical="center"/>
    </xf>
    <xf numFmtId="2" fontId="7" fillId="0" borderId="0" xfId="5" applyNumberFormat="1" applyFont="1" applyAlignment="1">
      <alignment vertical="center" wrapText="1"/>
    </xf>
    <xf numFmtId="165" fontId="3" fillId="0" borderId="0" xfId="1" applyNumberFormat="1" applyFont="1" applyBorder="1"/>
    <xf numFmtId="0" fontId="12" fillId="2" borderId="1" xfId="0" applyFont="1" applyFill="1" applyBorder="1" applyAlignment="1">
      <alignment horizontal="center" vertical="center"/>
    </xf>
    <xf numFmtId="0" fontId="7" fillId="0" borderId="1" xfId="3" applyFont="1" applyBorder="1" applyAlignment="1">
      <alignment horizontal="center" vertical="center" wrapText="1"/>
    </xf>
    <xf numFmtId="0" fontId="7" fillId="0" borderId="6" xfId="3" applyFont="1" applyBorder="1" applyAlignment="1">
      <alignment horizontal="center" vertical="center" wrapText="1"/>
    </xf>
    <xf numFmtId="43" fontId="1" fillId="0" borderId="1" xfId="1" applyFont="1" applyFill="1" applyBorder="1" applyAlignment="1">
      <alignment horizontal="center" vertical="center"/>
    </xf>
    <xf numFmtId="165" fontId="1" fillId="0" borderId="1" xfId="1" applyNumberFormat="1" applyFont="1" applyFill="1" applyBorder="1" applyAlignment="1">
      <alignment horizontal="center" vertical="center"/>
    </xf>
    <xf numFmtId="165" fontId="3" fillId="0" borderId="1" xfId="1" applyNumberFormat="1" applyFont="1" applyFill="1" applyBorder="1" applyAlignment="1">
      <alignment horizontal="center" vertical="center"/>
    </xf>
    <xf numFmtId="2" fontId="0" fillId="0" borderId="1" xfId="0" applyNumberFormat="1" applyBorder="1" applyAlignment="1">
      <alignment horizontal="center" vertical="center"/>
    </xf>
    <xf numFmtId="165" fontId="1" fillId="0" borderId="1" xfId="1" applyNumberFormat="1" applyFont="1" applyBorder="1" applyAlignment="1">
      <alignment horizontal="center" vertical="center"/>
    </xf>
    <xf numFmtId="0" fontId="0" fillId="0" borderId="2" xfId="0" applyBorder="1" applyAlignment="1">
      <alignment horizontal="center" vertical="center"/>
    </xf>
    <xf numFmtId="165" fontId="1" fillId="0" borderId="2" xfId="1" applyNumberFormat="1" applyFont="1" applyBorder="1" applyAlignment="1">
      <alignment horizontal="center" vertical="center"/>
    </xf>
    <xf numFmtId="164" fontId="7" fillId="0" borderId="10" xfId="4" applyNumberFormat="1" applyFont="1" applyFill="1" applyBorder="1" applyAlignment="1">
      <alignment horizontal="center" vertical="center" wrapText="1"/>
    </xf>
    <xf numFmtId="1" fontId="7" fillId="0" borderId="1" xfId="3" applyNumberFormat="1" applyFont="1" applyBorder="1" applyAlignment="1">
      <alignment horizontal="center" vertical="center"/>
    </xf>
    <xf numFmtId="164" fontId="7" fillId="0" borderId="1" xfId="4" applyNumberFormat="1" applyFont="1" applyFill="1" applyBorder="1" applyAlignment="1">
      <alignment horizontal="center" vertical="center" wrapText="1"/>
    </xf>
    <xf numFmtId="2" fontId="7" fillId="0" borderId="1" xfId="3" applyNumberFormat="1" applyFont="1" applyBorder="1" applyAlignment="1">
      <alignment horizontal="center" vertical="center"/>
    </xf>
    <xf numFmtId="165" fontId="0" fillId="0" borderId="1" xfId="1" applyNumberFormat="1" applyFont="1" applyFill="1" applyBorder="1" applyAlignment="1">
      <alignment horizontal="center" vertical="center"/>
    </xf>
    <xf numFmtId="165" fontId="0" fillId="0" borderId="1" xfId="1" applyNumberFormat="1" applyFont="1" applyBorder="1" applyAlignment="1">
      <alignment horizontal="center" vertical="center"/>
    </xf>
    <xf numFmtId="167" fontId="0" fillId="0" borderId="1" xfId="1" applyNumberFormat="1" applyFont="1" applyFill="1" applyBorder="1" applyAlignment="1">
      <alignment horizontal="center" vertical="center"/>
    </xf>
    <xf numFmtId="1" fontId="7" fillId="0" borderId="8" xfId="3" applyNumberFormat="1" applyFont="1" applyBorder="1" applyAlignment="1">
      <alignment horizontal="center" vertical="center"/>
    </xf>
    <xf numFmtId="165" fontId="0" fillId="0" borderId="2" xfId="1" applyNumberFormat="1" applyFont="1" applyBorder="1" applyAlignment="1">
      <alignment horizontal="center" vertical="center"/>
    </xf>
    <xf numFmtId="164" fontId="7" fillId="0" borderId="2" xfId="4" applyNumberFormat="1" applyFont="1" applyFill="1" applyBorder="1" applyAlignment="1">
      <alignment horizontal="center" vertical="center" wrapText="1"/>
    </xf>
    <xf numFmtId="2" fontId="7" fillId="0" borderId="8" xfId="3" applyNumberFormat="1" applyFont="1" applyBorder="1" applyAlignment="1">
      <alignment horizontal="center" vertical="center"/>
    </xf>
    <xf numFmtId="43" fontId="0" fillId="0" borderId="0" xfId="1" applyFont="1"/>
    <xf numFmtId="43" fontId="0" fillId="0" borderId="1" xfId="1" applyFont="1" applyBorder="1" applyAlignment="1">
      <alignment horizontal="center" vertical="center"/>
    </xf>
    <xf numFmtId="170" fontId="0" fillId="0" borderId="0" xfId="0" applyNumberFormat="1"/>
    <xf numFmtId="0" fontId="2" fillId="0" borderId="0" xfId="0" applyFont="1"/>
    <xf numFmtId="0" fontId="2" fillId="0" borderId="1" xfId="0" applyFont="1" applyBorder="1" applyAlignment="1">
      <alignment horizontal="center"/>
    </xf>
    <xf numFmtId="165" fontId="3" fillId="0" borderId="1" xfId="1" applyNumberFormat="1" applyFont="1" applyBorder="1" applyAlignment="1">
      <alignment horizontal="center"/>
    </xf>
    <xf numFmtId="0" fontId="0" fillId="0" borderId="1" xfId="0" applyBorder="1" applyAlignment="1">
      <alignment horizontal="center"/>
    </xf>
    <xf numFmtId="165" fontId="3" fillId="0" borderId="0" xfId="1" applyNumberFormat="1" applyFont="1" applyBorder="1" applyAlignment="1">
      <alignment horizontal="center"/>
    </xf>
    <xf numFmtId="0" fontId="0" fillId="0" borderId="2" xfId="0" applyBorder="1" applyAlignment="1">
      <alignment horizontal="center"/>
    </xf>
    <xf numFmtId="165" fontId="1" fillId="0" borderId="2" xfId="1" applyNumberFormat="1" applyFont="1" applyBorder="1" applyAlignment="1">
      <alignment horizontal="center"/>
    </xf>
    <xf numFmtId="0" fontId="0" fillId="0" borderId="0" xfId="0" applyAlignment="1">
      <alignment horizontal="center"/>
    </xf>
    <xf numFmtId="166" fontId="2" fillId="0" borderId="1" xfId="2" applyNumberFormat="1" applyFont="1" applyBorder="1" applyAlignment="1">
      <alignment horizontal="center"/>
    </xf>
    <xf numFmtId="43" fontId="2" fillId="0" borderId="1" xfId="1" applyFont="1" applyBorder="1" applyAlignment="1">
      <alignment horizontal="center"/>
    </xf>
    <xf numFmtId="165" fontId="2" fillId="0" borderId="1" xfId="0" applyNumberFormat="1" applyFont="1" applyBorder="1" applyAlignment="1">
      <alignment horizontal="center"/>
    </xf>
    <xf numFmtId="165" fontId="2" fillId="0" borderId="1" xfId="1" applyNumberFormat="1" applyFont="1" applyFill="1" applyBorder="1" applyAlignment="1">
      <alignment horizontal="center"/>
    </xf>
    <xf numFmtId="0" fontId="0" fillId="4" borderId="1" xfId="0" applyFill="1" applyBorder="1" applyAlignment="1">
      <alignment horizontal="center" vertical="center"/>
    </xf>
    <xf numFmtId="0" fontId="7" fillId="4" borderId="1" xfId="3" applyFont="1" applyFill="1" applyBorder="1" applyAlignment="1">
      <alignment vertical="center" wrapText="1"/>
    </xf>
    <xf numFmtId="165" fontId="0" fillId="4" borderId="1" xfId="1" applyNumberFormat="1" applyFont="1" applyFill="1" applyBorder="1" applyAlignment="1">
      <alignment horizontal="center" vertical="center"/>
    </xf>
    <xf numFmtId="2" fontId="0" fillId="4" borderId="1" xfId="0" applyNumberFormat="1" applyFill="1" applyBorder="1" applyAlignment="1">
      <alignment horizontal="center" vertical="center"/>
    </xf>
    <xf numFmtId="165" fontId="1" fillId="4" borderId="1" xfId="1" applyNumberFormat="1" applyFont="1" applyFill="1" applyBorder="1" applyAlignment="1">
      <alignment horizontal="center" vertical="center"/>
    </xf>
    <xf numFmtId="0" fontId="14" fillId="0" borderId="0" xfId="0" applyFont="1"/>
    <xf numFmtId="165" fontId="14" fillId="0" borderId="0" xfId="0" applyNumberFormat="1" applyFont="1"/>
    <xf numFmtId="43" fontId="14" fillId="0" borderId="0" xfId="1" applyFont="1"/>
    <xf numFmtId="165" fontId="14" fillId="0" borderId="1" xfId="1" applyNumberFormat="1" applyFont="1" applyBorder="1"/>
    <xf numFmtId="165" fontId="14" fillId="0" borderId="0" xfId="1" applyNumberFormat="1" applyFont="1"/>
    <xf numFmtId="43" fontId="14" fillId="0" borderId="0" xfId="0" applyNumberFormat="1" applyFont="1"/>
    <xf numFmtId="165" fontId="14" fillId="0" borderId="1" xfId="1" applyNumberFormat="1" applyFont="1" applyBorder="1" applyAlignment="1">
      <alignment horizontal="center" vertical="center"/>
    </xf>
    <xf numFmtId="170" fontId="14" fillId="0" borderId="0" xfId="0" applyNumberFormat="1" applyFont="1"/>
    <xf numFmtId="9" fontId="14" fillId="0" borderId="0" xfId="2" applyFont="1"/>
    <xf numFmtId="9" fontId="2" fillId="0" borderId="1" xfId="2" applyFont="1" applyBorder="1" applyAlignment="1">
      <alignment horizontal="center"/>
    </xf>
    <xf numFmtId="0" fontId="16" fillId="0" borderId="0" xfId="0" applyFont="1"/>
    <xf numFmtId="0" fontId="17" fillId="0" borderId="0" xfId="0" applyFont="1"/>
    <xf numFmtId="0" fontId="18" fillId="2" borderId="1" xfId="0" applyFont="1" applyFill="1" applyBorder="1" applyAlignment="1">
      <alignment horizontal="center" vertical="center"/>
    </xf>
    <xf numFmtId="0" fontId="17" fillId="0" borderId="1" xfId="0" applyFont="1" applyBorder="1" applyAlignment="1">
      <alignment horizontal="center" vertical="center"/>
    </xf>
    <xf numFmtId="0" fontId="17" fillId="0" borderId="1" xfId="0" applyFont="1" applyBorder="1" applyAlignment="1">
      <alignment wrapText="1"/>
    </xf>
    <xf numFmtId="0" fontId="20" fillId="0" borderId="1" xfId="3" applyFont="1" applyBorder="1" applyAlignment="1">
      <alignment vertical="center" wrapText="1"/>
    </xf>
    <xf numFmtId="0" fontId="20" fillId="0" borderId="6" xfId="3" applyFont="1" applyBorder="1" applyAlignment="1">
      <alignment vertical="center" wrapText="1"/>
    </xf>
    <xf numFmtId="0" fontId="17" fillId="0" borderId="1" xfId="0" applyFont="1" applyBorder="1"/>
    <xf numFmtId="165" fontId="16" fillId="0" borderId="0" xfId="0" applyNumberFormat="1" applyFont="1"/>
    <xf numFmtId="0" fontId="17" fillId="0" borderId="1" xfId="0" applyFont="1" applyBorder="1" applyAlignment="1">
      <alignment vertical="top" wrapText="1"/>
    </xf>
    <xf numFmtId="43" fontId="16" fillId="0" borderId="0" xfId="1" applyFont="1"/>
    <xf numFmtId="0" fontId="17" fillId="0" borderId="1" xfId="0" applyFont="1" applyBorder="1" applyAlignment="1">
      <alignment horizontal="left" vertical="center" wrapText="1"/>
    </xf>
    <xf numFmtId="0" fontId="20" fillId="0" borderId="5" xfId="3" applyFont="1" applyBorder="1" applyAlignment="1">
      <alignment horizontal="center" vertical="center" wrapText="1"/>
    </xf>
    <xf numFmtId="0" fontId="23" fillId="3" borderId="1" xfId="0" applyFont="1" applyFill="1" applyBorder="1" applyAlignment="1">
      <alignment horizontal="center" vertical="center"/>
    </xf>
    <xf numFmtId="165" fontId="16" fillId="0" borderId="1" xfId="1" applyNumberFormat="1" applyFont="1" applyFill="1" applyBorder="1" applyAlignment="1">
      <alignment horizontal="center" vertical="center"/>
    </xf>
    <xf numFmtId="0" fontId="16" fillId="0" borderId="1" xfId="0" applyFont="1" applyBorder="1" applyAlignment="1">
      <alignment wrapText="1"/>
    </xf>
    <xf numFmtId="0" fontId="24" fillId="0" borderId="1" xfId="3" applyFont="1" applyBorder="1" applyAlignment="1">
      <alignment vertical="center" wrapText="1"/>
    </xf>
    <xf numFmtId="0" fontId="25" fillId="0" borderId="0" xfId="0" applyFont="1"/>
    <xf numFmtId="0" fontId="18" fillId="3" borderId="1" xfId="0" applyFont="1" applyFill="1" applyBorder="1" applyAlignment="1">
      <alignment horizontal="center" vertical="center"/>
    </xf>
    <xf numFmtId="1" fontId="20" fillId="0" borderId="1" xfId="3" applyNumberFormat="1" applyFont="1" applyBorder="1" applyAlignment="1">
      <alignment horizontal="center" vertical="center"/>
    </xf>
    <xf numFmtId="43" fontId="16" fillId="0" borderId="0" xfId="0" applyNumberFormat="1" applyFont="1"/>
    <xf numFmtId="2" fontId="20" fillId="0" borderId="1" xfId="3" applyNumberFormat="1" applyFont="1" applyBorder="1" applyAlignment="1">
      <alignment horizontal="center" vertical="center"/>
    </xf>
    <xf numFmtId="1" fontId="20" fillId="0" borderId="4" xfId="3" applyNumberFormat="1" applyFont="1" applyBorder="1" applyAlignment="1">
      <alignment horizontal="center" vertical="center"/>
    </xf>
    <xf numFmtId="165" fontId="16" fillId="0" borderId="1" xfId="1" applyNumberFormat="1" applyFont="1" applyBorder="1" applyAlignment="1">
      <alignment horizontal="center" vertical="center"/>
    </xf>
    <xf numFmtId="43" fontId="21" fillId="0" borderId="0" xfId="0" applyNumberFormat="1" applyFont="1" applyAlignment="1">
      <alignment horizontal="center" vertical="center"/>
    </xf>
    <xf numFmtId="0" fontId="17" fillId="0" borderId="0" xfId="0" applyFont="1" applyAlignment="1">
      <alignment horizontal="left"/>
    </xf>
    <xf numFmtId="0" fontId="21" fillId="0" borderId="0" xfId="0" applyFont="1" applyAlignment="1">
      <alignment horizontal="center" vertical="center"/>
    </xf>
    <xf numFmtId="165" fontId="17" fillId="0" borderId="0" xfId="0" applyNumberFormat="1" applyFont="1"/>
    <xf numFmtId="43" fontId="17" fillId="0" borderId="0" xfId="1" applyFont="1"/>
    <xf numFmtId="0" fontId="17" fillId="0" borderId="0" xfId="0" applyFont="1" applyAlignment="1">
      <alignment horizontal="center"/>
    </xf>
    <xf numFmtId="166" fontId="19" fillId="0" borderId="1" xfId="2" applyNumberFormat="1" applyFont="1" applyBorder="1" applyAlignment="1">
      <alignment horizontal="center" vertical="center"/>
    </xf>
    <xf numFmtId="165" fontId="19" fillId="0" borderId="1" xfId="0" applyNumberFormat="1" applyFont="1" applyBorder="1" applyAlignment="1">
      <alignment horizontal="center" vertical="center"/>
    </xf>
    <xf numFmtId="9" fontId="16" fillId="0" borderId="0" xfId="2" applyFont="1"/>
    <xf numFmtId="165" fontId="19" fillId="0" borderId="1" xfId="1" applyNumberFormat="1" applyFont="1" applyFill="1" applyBorder="1" applyAlignment="1">
      <alignment horizontal="center" vertical="center"/>
    </xf>
    <xf numFmtId="0" fontId="24" fillId="0" borderId="0" xfId="0" applyFont="1"/>
    <xf numFmtId="0" fontId="27" fillId="0" borderId="0" xfId="0" applyFont="1"/>
    <xf numFmtId="0" fontId="24" fillId="0" borderId="0" xfId="0" applyFont="1" applyAlignment="1">
      <alignment vertical="center"/>
    </xf>
    <xf numFmtId="0" fontId="27" fillId="0" borderId="9" xfId="0" applyFont="1" applyBorder="1" applyAlignment="1">
      <alignment wrapText="1"/>
    </xf>
    <xf numFmtId="0" fontId="17" fillId="0" borderId="1" xfId="0" applyFont="1" applyBorder="1" applyAlignment="1">
      <alignment horizontal="left" vertical="top" wrapText="1"/>
    </xf>
    <xf numFmtId="0" fontId="17" fillId="0" borderId="1" xfId="0" applyFont="1" applyBorder="1" applyAlignment="1">
      <alignment horizontal="left" vertical="top"/>
    </xf>
    <xf numFmtId="43" fontId="16" fillId="0" borderId="0" xfId="1" applyFont="1" applyFill="1"/>
    <xf numFmtId="165" fontId="3" fillId="0" borderId="12" xfId="1" applyNumberFormat="1" applyFont="1" applyBorder="1" applyAlignment="1">
      <alignment horizontal="center" vertical="center"/>
    </xf>
    <xf numFmtId="43" fontId="4" fillId="0" borderId="0" xfId="0" applyNumberFormat="1" applyFont="1" applyAlignment="1">
      <alignment horizontal="center" vertical="center"/>
    </xf>
    <xf numFmtId="0" fontId="0" fillId="0" borderId="0" xfId="0" applyAlignment="1">
      <alignment horizontal="left"/>
    </xf>
    <xf numFmtId="0" fontId="4" fillId="0" borderId="0" xfId="0" applyFont="1" applyAlignment="1">
      <alignment horizontal="center" vertical="center"/>
    </xf>
    <xf numFmtId="165" fontId="3" fillId="0" borderId="1" xfId="1" applyNumberFormat="1" applyFont="1" applyBorder="1" applyAlignment="1">
      <alignment horizontal="center" vertical="center"/>
    </xf>
    <xf numFmtId="1" fontId="30" fillId="0" borderId="8" xfId="3" applyNumberFormat="1" applyFont="1" applyBorder="1" applyAlignment="1">
      <alignment horizontal="center" vertical="center"/>
    </xf>
    <xf numFmtId="0" fontId="0" fillId="0" borderId="4" xfId="0" applyBorder="1" applyAlignment="1">
      <alignment horizontal="center" vertical="center"/>
    </xf>
    <xf numFmtId="165" fontId="3" fillId="0" borderId="12" xfId="1" applyNumberFormat="1" applyFont="1" applyFill="1" applyBorder="1" applyAlignment="1">
      <alignment horizontal="center" vertical="center"/>
    </xf>
    <xf numFmtId="165" fontId="4" fillId="0" borderId="0" xfId="0" applyNumberFormat="1" applyFont="1" applyAlignment="1">
      <alignment horizontal="left"/>
    </xf>
    <xf numFmtId="164" fontId="0" fillId="0" borderId="0" xfId="0" applyNumberFormat="1"/>
    <xf numFmtId="2" fontId="20" fillId="0" borderId="1" xfId="5" applyNumberFormat="1" applyFont="1" applyBorder="1" applyAlignment="1">
      <alignment horizontal="left" vertical="top" wrapText="1"/>
    </xf>
    <xf numFmtId="2" fontId="7" fillId="0" borderId="1" xfId="5" applyNumberFormat="1" applyFont="1" applyBorder="1" applyAlignment="1">
      <alignment horizontal="left" vertical="top" wrapText="1"/>
    </xf>
    <xf numFmtId="0" fontId="26" fillId="0" borderId="11" xfId="0" applyFont="1" applyBorder="1" applyAlignment="1">
      <alignment horizontal="left" vertical="top"/>
    </xf>
    <xf numFmtId="0" fontId="7" fillId="0" borderId="1" xfId="3" applyFont="1" applyBorder="1" applyAlignment="1">
      <alignment horizontal="left" vertical="top"/>
    </xf>
    <xf numFmtId="0" fontId="7" fillId="0" borderId="1" xfId="6" applyFont="1" applyBorder="1" applyAlignment="1">
      <alignment horizontal="left" vertical="top" wrapText="1"/>
    </xf>
    <xf numFmtId="0" fontId="29" fillId="0" borderId="1" xfId="6" quotePrefix="1" applyFont="1" applyBorder="1" applyAlignment="1">
      <alignment horizontal="left" vertical="top"/>
    </xf>
    <xf numFmtId="0" fontId="7" fillId="0" borderId="1" xfId="3" applyFont="1" applyBorder="1" applyAlignment="1">
      <alignment horizontal="left" vertical="top" wrapText="1"/>
    </xf>
    <xf numFmtId="165" fontId="20" fillId="0" borderId="1" xfId="1" applyNumberFormat="1" applyFont="1" applyFill="1" applyBorder="1" applyAlignment="1">
      <alignment horizontal="center" vertical="center" wrapText="1"/>
    </xf>
    <xf numFmtId="165" fontId="20" fillId="0" borderId="3" xfId="1" applyNumberFormat="1" applyFont="1" applyFill="1" applyBorder="1" applyAlignment="1">
      <alignment horizontal="center" vertical="center" wrapText="1"/>
    </xf>
    <xf numFmtId="165" fontId="20" fillId="0" borderId="6" xfId="1" applyNumberFormat="1" applyFont="1" applyFill="1" applyBorder="1" applyAlignment="1">
      <alignment horizontal="center" vertical="center" wrapText="1"/>
    </xf>
    <xf numFmtId="165" fontId="20" fillId="0" borderId="2" xfId="1" applyNumberFormat="1" applyFont="1" applyFill="1" applyBorder="1" applyAlignment="1">
      <alignment horizontal="center" vertical="center" wrapText="1"/>
    </xf>
    <xf numFmtId="165" fontId="7" fillId="0" borderId="1" xfId="1" applyNumberFormat="1" applyFont="1" applyFill="1" applyBorder="1" applyAlignment="1">
      <alignment horizontal="center" vertical="center" wrapText="1"/>
    </xf>
    <xf numFmtId="165" fontId="7" fillId="0" borderId="3" xfId="1" applyNumberFormat="1" applyFont="1" applyFill="1" applyBorder="1" applyAlignment="1">
      <alignment horizontal="center" vertical="center" wrapText="1"/>
    </xf>
    <xf numFmtId="165" fontId="16" fillId="0" borderId="2" xfId="1" applyNumberFormat="1" applyFont="1" applyBorder="1" applyAlignment="1">
      <alignment horizontal="center" vertical="center"/>
    </xf>
    <xf numFmtId="43" fontId="3" fillId="0" borderId="1" xfId="1" applyFont="1" applyBorder="1" applyAlignment="1">
      <alignment horizontal="center" vertical="center"/>
    </xf>
    <xf numFmtId="167" fontId="7" fillId="0" borderId="1" xfId="1" applyNumberFormat="1" applyFont="1" applyFill="1" applyBorder="1" applyAlignment="1">
      <alignment horizontal="center" vertical="center" wrapText="1"/>
    </xf>
    <xf numFmtId="9" fontId="19" fillId="0" borderId="6" xfId="2" applyFont="1" applyBorder="1" applyAlignment="1">
      <alignment horizontal="center" vertical="center"/>
    </xf>
    <xf numFmtId="166" fontId="19" fillId="0" borderId="1" xfId="0" applyNumberFormat="1" applyFont="1" applyBorder="1" applyAlignment="1">
      <alignment horizontal="center" vertical="center"/>
    </xf>
    <xf numFmtId="10" fontId="19" fillId="0" borderId="1" xfId="2" applyNumberFormat="1" applyFont="1" applyBorder="1" applyAlignment="1">
      <alignment horizontal="center" vertical="center"/>
    </xf>
    <xf numFmtId="0" fontId="24" fillId="0" borderId="0" xfId="0" applyFont="1" applyAlignment="1">
      <alignment horizontal="center" vertical="center"/>
    </xf>
    <xf numFmtId="0" fontId="17" fillId="0" borderId="0" xfId="0" applyFont="1" applyAlignment="1">
      <alignment horizontal="center" vertical="center"/>
    </xf>
    <xf numFmtId="0" fontId="16" fillId="0" borderId="0" xfId="0" applyFont="1" applyAlignment="1">
      <alignment horizontal="center" vertical="center"/>
    </xf>
    <xf numFmtId="0" fontId="19" fillId="0" borderId="1" xfId="0" applyFont="1" applyBorder="1" applyAlignment="1">
      <alignment horizontal="center" vertical="center"/>
    </xf>
    <xf numFmtId="165" fontId="21" fillId="0" borderId="1" xfId="1" applyNumberFormat="1" applyFont="1" applyBorder="1" applyAlignment="1">
      <alignment horizontal="center" vertical="center"/>
    </xf>
    <xf numFmtId="165" fontId="4" fillId="0" borderId="1" xfId="1" applyNumberFormat="1" applyFont="1" applyBorder="1" applyAlignment="1">
      <alignment horizontal="center" vertical="center"/>
    </xf>
    <xf numFmtId="165" fontId="21" fillId="0" borderId="1" xfId="1" applyNumberFormat="1" applyFont="1" applyFill="1" applyBorder="1" applyAlignment="1">
      <alignment horizontal="center" vertical="center"/>
    </xf>
    <xf numFmtId="165" fontId="4" fillId="0" borderId="1" xfId="1" applyNumberFormat="1" applyFont="1" applyFill="1" applyBorder="1" applyAlignment="1">
      <alignment horizontal="center" vertical="center"/>
    </xf>
    <xf numFmtId="0" fontId="0" fillId="0" borderId="0" xfId="0" applyAlignment="1">
      <alignment horizontal="centerContinuous" wrapText="1"/>
    </xf>
    <xf numFmtId="171" fontId="0" fillId="0" borderId="0" xfId="0" applyNumberFormat="1" applyAlignment="1">
      <alignment horizontal="centerContinuous" wrapText="1"/>
    </xf>
    <xf numFmtId="0" fontId="12" fillId="0" borderId="13" xfId="0" applyFont="1" applyBorder="1" applyAlignment="1">
      <alignment horizontal="centerContinuous"/>
    </xf>
    <xf numFmtId="0" fontId="0" fillId="0" borderId="13" xfId="0" applyBorder="1" applyAlignment="1">
      <alignment horizontal="centerContinuous"/>
    </xf>
    <xf numFmtId="171" fontId="0" fillId="0" borderId="13" xfId="0" applyNumberFormat="1" applyBorder="1" applyAlignment="1">
      <alignment horizontal="centerContinuous"/>
    </xf>
    <xf numFmtId="0" fontId="11" fillId="0" borderId="1" xfId="0" applyFont="1" applyBorder="1" applyAlignment="1">
      <alignment horizontal="centerContinuous"/>
    </xf>
    <xf numFmtId="171" fontId="11" fillId="0" borderId="1" xfId="0" applyNumberFormat="1" applyFont="1" applyBorder="1" applyAlignment="1">
      <alignment horizontal="centerContinuous"/>
    </xf>
    <xf numFmtId="0" fontId="11" fillId="0" borderId="3" xfId="0" applyFont="1" applyBorder="1" applyAlignment="1">
      <alignment horizontal="centerContinuous"/>
    </xf>
    <xf numFmtId="0" fontId="11" fillId="0" borderId="12" xfId="0" applyFont="1" applyBorder="1" applyAlignment="1">
      <alignment horizontal="centerContinuous"/>
    </xf>
    <xf numFmtId="0" fontId="11" fillId="0" borderId="4" xfId="0" applyFont="1" applyBorder="1" applyAlignment="1">
      <alignment horizontal="centerContinuous"/>
    </xf>
    <xf numFmtId="0" fontId="11" fillId="0" borderId="1" xfId="0" applyFont="1" applyBorder="1" applyAlignment="1">
      <alignment horizontal="center" vertical="center"/>
    </xf>
    <xf numFmtId="171" fontId="11" fillId="0" borderId="1" xfId="0" applyNumberFormat="1" applyFont="1" applyBorder="1" applyAlignment="1">
      <alignment horizontal="center" vertical="center"/>
    </xf>
    <xf numFmtId="0" fontId="11" fillId="0" borderId="3" xfId="0" applyFont="1" applyBorder="1" applyAlignment="1">
      <alignment horizontal="center" vertical="center"/>
    </xf>
    <xf numFmtId="0" fontId="11" fillId="0" borderId="12" xfId="0" applyFont="1" applyBorder="1" applyAlignment="1">
      <alignment horizontal="center" vertical="center"/>
    </xf>
    <xf numFmtId="0" fontId="11" fillId="0" borderId="14" xfId="0" applyFont="1" applyBorder="1" applyAlignment="1">
      <alignment horizontal="center" vertical="center"/>
    </xf>
    <xf numFmtId="0" fontId="11" fillId="0" borderId="4" xfId="0" applyFont="1" applyBorder="1" applyAlignment="1">
      <alignment horizontal="center" vertical="center"/>
    </xf>
    <xf numFmtId="0" fontId="0" fillId="0" borderId="15" xfId="0" applyBorder="1"/>
    <xf numFmtId="0" fontId="2" fillId="0" borderId="15" xfId="0" applyFont="1" applyBorder="1"/>
    <xf numFmtId="171" fontId="0" fillId="0" borderId="15" xfId="0" applyNumberFormat="1" applyBorder="1" applyAlignment="1">
      <alignment horizontal="center"/>
    </xf>
    <xf numFmtId="0" fontId="0" fillId="0" borderId="16" xfId="0" applyBorder="1"/>
    <xf numFmtId="0" fontId="0" fillId="0" borderId="17" xfId="0" applyBorder="1"/>
    <xf numFmtId="0" fontId="0" fillId="0" borderId="18" xfId="0" applyBorder="1"/>
    <xf numFmtId="0" fontId="0" fillId="0" borderId="19" xfId="0" applyBorder="1"/>
    <xf numFmtId="0" fontId="0" fillId="0" borderId="15" xfId="0" applyBorder="1" applyAlignment="1">
      <alignment horizontal="center"/>
    </xf>
    <xf numFmtId="0" fontId="2" fillId="0" borderId="20" xfId="0" applyFont="1" applyBorder="1"/>
    <xf numFmtId="171" fontId="0" fillId="0" borderId="20" xfId="0" applyNumberFormat="1" applyBorder="1" applyAlignment="1">
      <alignment horizontal="center"/>
    </xf>
    <xf numFmtId="0" fontId="0" fillId="0" borderId="20" xfId="0" applyBorder="1"/>
    <xf numFmtId="0" fontId="0" fillId="0" borderId="21" xfId="0" applyBorder="1"/>
    <xf numFmtId="0" fontId="0" fillId="0" borderId="22" xfId="0" applyBorder="1"/>
    <xf numFmtId="0" fontId="0" fillId="0" borderId="23" xfId="0" applyBorder="1"/>
    <xf numFmtId="0" fontId="0" fillId="0" borderId="24" xfId="0" applyBorder="1"/>
    <xf numFmtId="0" fontId="0" fillId="0" borderId="20" xfId="0" applyBorder="1" applyAlignment="1">
      <alignment horizontal="center"/>
    </xf>
    <xf numFmtId="172" fontId="0" fillId="0" borderId="20" xfId="0" applyNumberFormat="1" applyBorder="1"/>
    <xf numFmtId="172" fontId="0" fillId="0" borderId="24" xfId="0" applyNumberFormat="1" applyBorder="1"/>
    <xf numFmtId="173" fontId="32" fillId="0" borderId="20" xfId="3" applyNumberFormat="1" applyFont="1" applyBorder="1" applyAlignment="1">
      <alignment horizontal="center" vertical="center"/>
    </xf>
    <xf numFmtId="172" fontId="0" fillId="0" borderId="22" xfId="0" applyNumberFormat="1" applyBorder="1"/>
    <xf numFmtId="0" fontId="0" fillId="0" borderId="20" xfId="0" applyBorder="1" applyAlignment="1">
      <alignment wrapText="1"/>
    </xf>
    <xf numFmtId="171" fontId="3" fillId="0" borderId="20" xfId="0" applyNumberFormat="1" applyFont="1" applyBorder="1" applyAlignment="1">
      <alignment horizontal="center"/>
    </xf>
    <xf numFmtId="0" fontId="2" fillId="0" borderId="25" xfId="0" applyFont="1" applyBorder="1"/>
    <xf numFmtId="171" fontId="0" fillId="0" borderId="25" xfId="0" applyNumberFormat="1" applyBorder="1" applyAlignment="1">
      <alignment horizontal="center"/>
    </xf>
    <xf numFmtId="172" fontId="0" fillId="0" borderId="25" xfId="0" applyNumberFormat="1"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5" xfId="0" applyBorder="1" applyAlignment="1">
      <alignment horizontal="center"/>
    </xf>
    <xf numFmtId="0" fontId="0" fillId="0" borderId="25" xfId="0" applyBorder="1" applyAlignment="1">
      <alignment wrapText="1"/>
    </xf>
    <xf numFmtId="172" fontId="0" fillId="0" borderId="29" xfId="0" applyNumberFormat="1" applyBorder="1"/>
    <xf numFmtId="0" fontId="0" fillId="0" borderId="25" xfId="0" applyBorder="1" applyAlignment="1">
      <alignment horizontal="right" wrapText="1"/>
    </xf>
    <xf numFmtId="0" fontId="0" fillId="0" borderId="30" xfId="0" applyBorder="1"/>
    <xf numFmtId="0" fontId="0" fillId="0" borderId="30" xfId="0" applyBorder="1" applyAlignment="1">
      <alignment wrapText="1"/>
    </xf>
    <xf numFmtId="171" fontId="0" fillId="0" borderId="30" xfId="0" applyNumberFormat="1" applyBorder="1" applyAlignment="1">
      <alignment horizontal="center"/>
    </xf>
    <xf numFmtId="0" fontId="0" fillId="0" borderId="30" xfId="0" applyBorder="1" applyAlignment="1">
      <alignment horizontal="center"/>
    </xf>
    <xf numFmtId="172" fontId="0" fillId="0" borderId="30" xfId="0" applyNumberFormat="1" applyBorder="1"/>
    <xf numFmtId="0" fontId="0" fillId="0" borderId="31" xfId="0" applyBorder="1"/>
    <xf numFmtId="0" fontId="0" fillId="0" borderId="32" xfId="0" applyBorder="1"/>
    <xf numFmtId="0" fontId="0" fillId="0" borderId="33" xfId="0" applyBorder="1"/>
    <xf numFmtId="172" fontId="0" fillId="0" borderId="34" xfId="0" applyNumberFormat="1" applyBorder="1"/>
    <xf numFmtId="0" fontId="0" fillId="0" borderId="4" xfId="0" applyBorder="1"/>
    <xf numFmtId="171" fontId="0" fillId="0" borderId="1" xfId="0" applyNumberFormat="1" applyBorder="1" applyAlignment="1">
      <alignment horizontal="center"/>
    </xf>
    <xf numFmtId="0" fontId="0" fillId="0" borderId="3" xfId="0" applyBorder="1"/>
    <xf numFmtId="0" fontId="0" fillId="0" borderId="12" xfId="0" applyBorder="1"/>
    <xf numFmtId="0" fontId="0" fillId="0" borderId="14" xfId="0" applyBorder="1"/>
    <xf numFmtId="1" fontId="2" fillId="0" borderId="4" xfId="0" applyNumberFormat="1" applyFont="1" applyBorder="1"/>
    <xf numFmtId="1" fontId="2" fillId="0" borderId="1" xfId="0" applyNumberFormat="1" applyFont="1" applyBorder="1"/>
    <xf numFmtId="172" fontId="2" fillId="0" borderId="1" xfId="0" applyNumberFormat="1" applyFont="1" applyBorder="1"/>
    <xf numFmtId="172" fontId="2" fillId="0" borderId="12" xfId="0" applyNumberFormat="1" applyFont="1" applyBorder="1" applyAlignment="1">
      <alignment horizontal="center"/>
    </xf>
    <xf numFmtId="172" fontId="0" fillId="0" borderId="0" xfId="0" applyNumberFormat="1"/>
    <xf numFmtId="171" fontId="0" fillId="0" borderId="0" xfId="0" applyNumberFormat="1"/>
    <xf numFmtId="0" fontId="2" fillId="5" borderId="20" xfId="0" applyFont="1" applyFill="1" applyBorder="1"/>
    <xf numFmtId="171" fontId="0" fillId="5" borderId="20" xfId="0" applyNumberFormat="1" applyFill="1" applyBorder="1" applyAlignment="1">
      <alignment horizontal="center"/>
    </xf>
    <xf numFmtId="0" fontId="0" fillId="5" borderId="20" xfId="0" applyFill="1" applyBorder="1"/>
    <xf numFmtId="0" fontId="0" fillId="5" borderId="21" xfId="0" applyFill="1" applyBorder="1"/>
    <xf numFmtId="0" fontId="0" fillId="5" borderId="22" xfId="0" applyFill="1" applyBorder="1"/>
    <xf numFmtId="0" fontId="0" fillId="5" borderId="23" xfId="0" applyFill="1" applyBorder="1"/>
    <xf numFmtId="0" fontId="0" fillId="5" borderId="24" xfId="0" applyFill="1" applyBorder="1"/>
    <xf numFmtId="0" fontId="0" fillId="5" borderId="20" xfId="0" applyFill="1" applyBorder="1" applyAlignment="1">
      <alignment horizontal="center"/>
    </xf>
    <xf numFmtId="0" fontId="0" fillId="5" borderId="0" xfId="0" applyFill="1"/>
    <xf numFmtId="172" fontId="0" fillId="5" borderId="20" xfId="0" applyNumberFormat="1" applyFill="1" applyBorder="1"/>
    <xf numFmtId="172" fontId="0" fillId="5" borderId="24" xfId="0" applyNumberFormat="1" applyFill="1" applyBorder="1"/>
    <xf numFmtId="0" fontId="0" fillId="2" borderId="20" xfId="0" applyFill="1" applyBorder="1"/>
    <xf numFmtId="171" fontId="0" fillId="2" borderId="20" xfId="0" applyNumberFormat="1" applyFill="1" applyBorder="1" applyAlignment="1">
      <alignment horizontal="center"/>
    </xf>
    <xf numFmtId="0" fontId="0" fillId="2" borderId="21" xfId="0" applyFill="1" applyBorder="1"/>
    <xf numFmtId="0" fontId="0" fillId="2" borderId="22" xfId="0" applyFill="1" applyBorder="1"/>
    <xf numFmtId="0" fontId="0" fillId="2" borderId="23" xfId="0" applyFill="1" applyBorder="1"/>
    <xf numFmtId="0" fontId="0" fillId="2" borderId="24" xfId="0" applyFill="1" applyBorder="1"/>
    <xf numFmtId="0" fontId="0" fillId="2" borderId="20" xfId="0" applyFill="1" applyBorder="1" applyAlignment="1">
      <alignment horizontal="center"/>
    </xf>
    <xf numFmtId="172" fontId="0" fillId="2" borderId="24" xfId="0" applyNumberFormat="1" applyFill="1" applyBorder="1"/>
    <xf numFmtId="172" fontId="0" fillId="2" borderId="20" xfId="0" applyNumberFormat="1" applyFill="1" applyBorder="1"/>
    <xf numFmtId="0" fontId="2" fillId="2" borderId="20" xfId="0" applyFont="1" applyFill="1" applyBorder="1"/>
    <xf numFmtId="2" fontId="0" fillId="2" borderId="20" xfId="0" applyNumberFormat="1" applyFill="1" applyBorder="1"/>
    <xf numFmtId="0" fontId="2" fillId="6" borderId="20" xfId="0" applyFont="1" applyFill="1" applyBorder="1"/>
    <xf numFmtId="0" fontId="0" fillId="6" borderId="20" xfId="0" applyFill="1" applyBorder="1"/>
    <xf numFmtId="171" fontId="0" fillId="6" borderId="20" xfId="0" applyNumberFormat="1" applyFill="1" applyBorder="1" applyAlignment="1">
      <alignment horizontal="center"/>
    </xf>
    <xf numFmtId="0" fontId="0" fillId="6" borderId="21" xfId="0" applyFill="1" applyBorder="1"/>
    <xf numFmtId="0" fontId="0" fillId="6" borderId="22" xfId="0" applyFill="1" applyBorder="1"/>
    <xf numFmtId="0" fontId="0" fillId="6" borderId="23" xfId="0" applyFill="1" applyBorder="1"/>
    <xf numFmtId="172" fontId="0" fillId="6" borderId="24" xfId="0" applyNumberFormat="1" applyFill="1" applyBorder="1"/>
    <xf numFmtId="172" fontId="0" fillId="6" borderId="20" xfId="0" applyNumberFormat="1" applyFill="1" applyBorder="1"/>
    <xf numFmtId="0" fontId="0" fillId="6" borderId="20" xfId="0" applyFill="1" applyBorder="1" applyAlignment="1">
      <alignment horizontal="center"/>
    </xf>
    <xf numFmtId="173" fontId="32" fillId="5" borderId="20" xfId="3" applyNumberFormat="1" applyFont="1" applyFill="1" applyBorder="1" applyAlignment="1">
      <alignment horizontal="center" vertical="center"/>
    </xf>
    <xf numFmtId="172" fontId="0" fillId="5" borderId="22" xfId="0" applyNumberFormat="1" applyFill="1" applyBorder="1"/>
    <xf numFmtId="0" fontId="32" fillId="5" borderId="20" xfId="3" applyFont="1" applyFill="1" applyBorder="1" applyAlignment="1">
      <alignment horizontal="center" vertical="center"/>
    </xf>
    <xf numFmtId="0" fontId="3" fillId="5" borderId="20" xfId="0" applyFont="1" applyFill="1" applyBorder="1" applyAlignment="1">
      <alignment horizontal="center"/>
    </xf>
    <xf numFmtId="0" fontId="2" fillId="5" borderId="23" xfId="0" applyFont="1" applyFill="1" applyBorder="1"/>
    <xf numFmtId="0" fontId="2" fillId="5" borderId="20" xfId="0" applyFont="1" applyFill="1" applyBorder="1" applyAlignment="1">
      <alignment horizontal="center"/>
    </xf>
    <xf numFmtId="2" fontId="0" fillId="0" borderId="24" xfId="0" applyNumberFormat="1" applyBorder="1"/>
    <xf numFmtId="0" fontId="17" fillId="0" borderId="1" xfId="0" applyFont="1" applyBorder="1" applyAlignment="1">
      <alignment horizontal="center"/>
    </xf>
    <xf numFmtId="0" fontId="17" fillId="0" borderId="1" xfId="0" applyFont="1" applyBorder="1" applyAlignment="1">
      <alignment vertical="center" wrapText="1"/>
    </xf>
    <xf numFmtId="0" fontId="17" fillId="0" borderId="0" xfId="0" applyFont="1" applyAlignment="1">
      <alignment vertical="center"/>
    </xf>
    <xf numFmtId="165" fontId="16" fillId="0" borderId="1" xfId="1" applyNumberFormat="1" applyFont="1" applyFill="1" applyBorder="1" applyAlignment="1">
      <alignment horizontal="right" vertical="center"/>
    </xf>
    <xf numFmtId="165" fontId="3" fillId="0" borderId="1" xfId="1" applyNumberFormat="1" applyFont="1" applyFill="1" applyBorder="1" applyAlignment="1">
      <alignment horizontal="right" vertical="center"/>
    </xf>
    <xf numFmtId="165" fontId="20" fillId="0" borderId="1" xfId="1" applyNumberFormat="1" applyFont="1" applyFill="1" applyBorder="1" applyAlignment="1">
      <alignment horizontal="right" vertical="center" wrapText="1"/>
    </xf>
    <xf numFmtId="0" fontId="20" fillId="0" borderId="1" xfId="3" applyFont="1" applyBorder="1" applyAlignment="1">
      <alignment horizontal="center" vertical="center" wrapText="1"/>
    </xf>
    <xf numFmtId="0" fontId="17" fillId="0" borderId="1" xfId="0" applyFont="1" applyBorder="1" applyAlignment="1">
      <alignment horizontal="left" vertical="center"/>
    </xf>
    <xf numFmtId="0" fontId="16" fillId="0" borderId="1" xfId="3" applyFont="1" applyBorder="1" applyAlignment="1">
      <alignment horizontal="left" vertical="center" wrapText="1"/>
    </xf>
    <xf numFmtId="0" fontId="33" fillId="0" borderId="1" xfId="3" applyFont="1" applyBorder="1" applyAlignment="1">
      <alignment horizontal="left" vertical="center" wrapText="1"/>
    </xf>
    <xf numFmtId="0" fontId="16" fillId="0" borderId="1" xfId="0" applyFont="1" applyBorder="1" applyAlignment="1">
      <alignment horizontal="left" vertical="center" wrapText="1"/>
    </xf>
    <xf numFmtId="0" fontId="17" fillId="0" borderId="1" xfId="3" applyFont="1" applyBorder="1" applyAlignment="1">
      <alignment horizontal="left" vertical="center" wrapText="1"/>
    </xf>
    <xf numFmtId="2" fontId="16" fillId="0" borderId="1" xfId="3" applyNumberFormat="1" applyFont="1" applyBorder="1" applyAlignment="1">
      <alignment horizontal="center" vertical="center"/>
    </xf>
    <xf numFmtId="165" fontId="16" fillId="0" borderId="1" xfId="1" applyNumberFormat="1" applyFont="1" applyFill="1" applyBorder="1" applyAlignment="1">
      <alignment horizontal="right" vertical="center" wrapText="1"/>
    </xf>
    <xf numFmtId="1" fontId="16" fillId="0" borderId="1" xfId="3" applyNumberFormat="1" applyFont="1" applyBorder="1" applyAlignment="1">
      <alignment horizontal="center" vertical="center"/>
    </xf>
    <xf numFmtId="165" fontId="33" fillId="0" borderId="1" xfId="1" applyNumberFormat="1" applyFont="1" applyFill="1" applyBorder="1" applyAlignment="1">
      <alignment horizontal="right" vertical="center" wrapText="1"/>
    </xf>
    <xf numFmtId="167" fontId="33" fillId="0" borderId="1" xfId="1" applyNumberFormat="1" applyFont="1" applyFill="1" applyBorder="1" applyAlignment="1">
      <alignment horizontal="right" vertical="center" wrapText="1"/>
    </xf>
    <xf numFmtId="43" fontId="16" fillId="0" borderId="0" xfId="0" applyNumberFormat="1" applyFont="1" applyAlignment="1">
      <alignment vertical="center"/>
    </xf>
    <xf numFmtId="0" fontId="16" fillId="0" borderId="0" xfId="0" applyFont="1" applyAlignment="1">
      <alignment vertical="center"/>
    </xf>
    <xf numFmtId="0" fontId="25" fillId="0" borderId="0" xfId="0" applyFont="1" applyAlignment="1">
      <alignment vertical="center"/>
    </xf>
    <xf numFmtId="165" fontId="16" fillId="0" borderId="0" xfId="0" applyNumberFormat="1" applyFont="1" applyAlignment="1">
      <alignment vertical="center"/>
    </xf>
    <xf numFmtId="2" fontId="16" fillId="0" borderId="1" xfId="5" applyNumberFormat="1" applyFont="1" applyBorder="1" applyAlignment="1">
      <alignment horizontal="left" vertical="center" wrapText="1"/>
    </xf>
    <xf numFmtId="2" fontId="33" fillId="0" borderId="1" xfId="5" applyNumberFormat="1" applyFont="1" applyBorder="1" applyAlignment="1">
      <alignment horizontal="left" vertical="center" wrapText="1"/>
    </xf>
    <xf numFmtId="0" fontId="33" fillId="0" borderId="1" xfId="3" applyFont="1" applyBorder="1" applyAlignment="1">
      <alignment horizontal="left" vertical="center"/>
    </xf>
    <xf numFmtId="0" fontId="33" fillId="0" borderId="1" xfId="6" applyFont="1" applyBorder="1" applyAlignment="1">
      <alignment horizontal="left" vertical="center" wrapText="1"/>
    </xf>
    <xf numFmtId="0" fontId="36" fillId="0" borderId="1" xfId="6" quotePrefix="1" applyFont="1" applyBorder="1" applyAlignment="1">
      <alignment horizontal="left" vertical="center"/>
    </xf>
    <xf numFmtId="1" fontId="30" fillId="0" borderId="1" xfId="3" applyNumberFormat="1" applyFont="1" applyBorder="1" applyAlignment="1">
      <alignment horizontal="center" vertical="center"/>
    </xf>
    <xf numFmtId="1" fontId="33" fillId="0" borderId="1" xfId="3" applyNumberFormat="1" applyFont="1" applyBorder="1" applyAlignment="1">
      <alignment horizontal="center" vertical="center"/>
    </xf>
    <xf numFmtId="0" fontId="35" fillId="0" borderId="1" xfId="0" applyFont="1" applyBorder="1" applyAlignment="1">
      <alignment horizontal="left" vertical="center"/>
    </xf>
    <xf numFmtId="165" fontId="16" fillId="0" borderId="0" xfId="0" applyNumberFormat="1" applyFont="1" applyAlignment="1">
      <alignment horizontal="center" vertical="center"/>
    </xf>
    <xf numFmtId="43" fontId="3" fillId="0" borderId="1" xfId="1" applyFont="1" applyFill="1" applyBorder="1" applyAlignment="1">
      <alignment horizontal="right" vertical="center"/>
    </xf>
    <xf numFmtId="0" fontId="16" fillId="0" borderId="0" xfId="0" applyFont="1" applyAlignment="1">
      <alignment horizontal="right" vertical="center"/>
    </xf>
    <xf numFmtId="0" fontId="16" fillId="0" borderId="0" xfId="0" applyFont="1" applyAlignment="1">
      <alignment horizontal="left" vertical="center"/>
    </xf>
    <xf numFmtId="165" fontId="3" fillId="0" borderId="0" xfId="0" applyNumberFormat="1" applyFont="1" applyAlignment="1">
      <alignment horizontal="center" vertical="center"/>
    </xf>
    <xf numFmtId="165" fontId="3" fillId="0" borderId="0" xfId="0" applyNumberFormat="1" applyFont="1"/>
    <xf numFmtId="165" fontId="3" fillId="0" borderId="0" xfId="0" applyNumberFormat="1" applyFont="1" applyAlignment="1">
      <alignment horizontal="left"/>
    </xf>
    <xf numFmtId="0" fontId="3" fillId="0" borderId="0" xfId="0" applyFont="1" applyAlignment="1">
      <alignment horizontal="center" vertical="center"/>
    </xf>
    <xf numFmtId="165" fontId="3" fillId="0" borderId="0" xfId="1" applyNumberFormat="1" applyFont="1"/>
    <xf numFmtId="43" fontId="3" fillId="0" borderId="0" xfId="1" applyFont="1"/>
    <xf numFmtId="0" fontId="3" fillId="0" borderId="0" xfId="0" applyFont="1" applyAlignment="1">
      <alignment vertical="center"/>
    </xf>
    <xf numFmtId="0" fontId="3" fillId="0" borderId="0" xfId="0" applyFont="1" applyAlignment="1">
      <alignment horizontal="left" vertical="center"/>
    </xf>
    <xf numFmtId="165" fontId="3" fillId="0" borderId="0" xfId="0" applyNumberFormat="1" applyFont="1" applyAlignment="1">
      <alignment vertical="center"/>
    </xf>
    <xf numFmtId="43" fontId="3" fillId="0" borderId="0" xfId="1" applyFont="1" applyAlignment="1">
      <alignment vertical="center"/>
    </xf>
    <xf numFmtId="43" fontId="16" fillId="0" borderId="0" xfId="0" applyNumberFormat="1" applyFont="1" applyAlignment="1">
      <alignment horizontal="center" vertical="center"/>
    </xf>
    <xf numFmtId="43" fontId="16" fillId="0" borderId="0" xfId="1" applyFont="1" applyAlignment="1">
      <alignment vertical="center"/>
    </xf>
    <xf numFmtId="43" fontId="3" fillId="0" borderId="0" xfId="0" applyNumberFormat="1" applyFont="1" applyAlignment="1">
      <alignment horizontal="center" vertical="center"/>
    </xf>
    <xf numFmtId="0" fontId="3" fillId="0" borderId="0" xfId="0" applyFont="1"/>
    <xf numFmtId="43" fontId="3" fillId="0" borderId="0" xfId="0" applyNumberFormat="1" applyFont="1"/>
    <xf numFmtId="0" fontId="38" fillId="0" borderId="1" xfId="10" applyFont="1" applyBorder="1" applyAlignment="1">
      <alignment horizontal="left" vertical="center" wrapText="1"/>
    </xf>
    <xf numFmtId="10" fontId="31" fillId="0" borderId="1" xfId="2" applyNumberFormat="1" applyFont="1" applyFill="1" applyBorder="1" applyAlignment="1">
      <alignment horizontal="right" vertical="center"/>
    </xf>
    <xf numFmtId="165" fontId="31" fillId="0" borderId="1" xfId="0" applyNumberFormat="1" applyFont="1" applyBorder="1" applyAlignment="1">
      <alignment horizontal="right" vertical="center"/>
    </xf>
    <xf numFmtId="9" fontId="31" fillId="0" borderId="1" xfId="2" applyFont="1" applyFill="1" applyBorder="1" applyAlignment="1">
      <alignment horizontal="right" vertical="center"/>
    </xf>
    <xf numFmtId="165" fontId="31" fillId="0" borderId="1" xfId="1" applyNumberFormat="1" applyFont="1" applyFill="1" applyBorder="1" applyAlignment="1">
      <alignment horizontal="right" vertical="center"/>
    </xf>
    <xf numFmtId="0" fontId="16" fillId="0" borderId="1" xfId="0" applyFont="1" applyBorder="1" applyAlignment="1">
      <alignment horizontal="right" vertical="center"/>
    </xf>
    <xf numFmtId="0" fontId="16" fillId="0" borderId="1" xfId="0" applyFont="1" applyBorder="1" applyAlignment="1">
      <alignment horizontal="center" vertical="center"/>
    </xf>
    <xf numFmtId="166" fontId="31" fillId="0" borderId="1" xfId="2" applyNumberFormat="1" applyFont="1" applyFill="1" applyBorder="1" applyAlignment="1">
      <alignment horizontal="right" vertical="center"/>
    </xf>
    <xf numFmtId="166" fontId="31" fillId="0" borderId="1" xfId="0" applyNumberFormat="1" applyFont="1" applyBorder="1" applyAlignment="1">
      <alignment horizontal="right" vertical="center"/>
    </xf>
    <xf numFmtId="0" fontId="39" fillId="2" borderId="1" xfId="0" applyFont="1" applyFill="1" applyBorder="1" applyAlignment="1">
      <alignment horizontal="center" vertical="center"/>
    </xf>
    <xf numFmtId="43" fontId="16" fillId="0" borderId="1" xfId="1" applyFont="1" applyFill="1" applyBorder="1" applyAlignment="1">
      <alignment horizontal="right" vertical="center"/>
    </xf>
    <xf numFmtId="0" fontId="40" fillId="0" borderId="0" xfId="0" applyFont="1"/>
    <xf numFmtId="0" fontId="41" fillId="0" borderId="0" xfId="0" applyFont="1"/>
    <xf numFmtId="0" fontId="28" fillId="0" borderId="0" xfId="0" applyFont="1"/>
    <xf numFmtId="0" fontId="40" fillId="0" borderId="0" xfId="0" applyFont="1" applyAlignment="1">
      <alignment vertical="center"/>
    </xf>
    <xf numFmtId="0" fontId="28" fillId="0" borderId="0" xfId="0" applyFont="1" applyAlignment="1">
      <alignment wrapText="1"/>
    </xf>
    <xf numFmtId="0" fontId="41" fillId="0" borderId="0" xfId="0" applyFont="1" applyAlignment="1">
      <alignment vertical="center"/>
    </xf>
    <xf numFmtId="0" fontId="40" fillId="0" borderId="0" xfId="0" applyFont="1" applyAlignment="1">
      <alignment horizontal="center" vertical="center"/>
    </xf>
    <xf numFmtId="174" fontId="7" fillId="0" borderId="1" xfId="3" applyNumberFormat="1" applyFont="1" applyBorder="1" applyAlignment="1">
      <alignment vertical="center" wrapText="1"/>
    </xf>
    <xf numFmtId="0" fontId="21" fillId="0" borderId="1" xfId="0" applyFont="1" applyBorder="1"/>
    <xf numFmtId="10" fontId="16" fillId="0" borderId="0" xfId="0" applyNumberFormat="1" applyFont="1" applyAlignment="1">
      <alignment horizontal="right" vertical="center"/>
    </xf>
    <xf numFmtId="10" fontId="16" fillId="0" borderId="0" xfId="0" applyNumberFormat="1" applyFont="1"/>
    <xf numFmtId="0" fontId="2" fillId="0" borderId="1" xfId="0" applyFont="1" applyBorder="1" applyAlignment="1">
      <alignment horizontal="center"/>
    </xf>
    <xf numFmtId="0" fontId="11" fillId="2" borderId="3"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2" fillId="0" borderId="9" xfId="0" applyFont="1" applyBorder="1" applyAlignment="1">
      <alignment horizontal="center" vertical="center" wrapText="1"/>
    </xf>
    <xf numFmtId="0" fontId="15" fillId="2" borderId="1" xfId="0" applyFont="1" applyFill="1" applyBorder="1" applyAlignment="1">
      <alignment horizontal="center" vertical="center"/>
    </xf>
    <xf numFmtId="0" fontId="28" fillId="0" borderId="0" xfId="0" applyFont="1" applyAlignment="1">
      <alignment horizontal="center" vertical="center" wrapText="1"/>
    </xf>
    <xf numFmtId="0" fontId="31" fillId="0" borderId="1" xfId="0" applyFont="1" applyBorder="1" applyAlignment="1">
      <alignment horizontal="right" vertical="center"/>
    </xf>
    <xf numFmtId="0" fontId="15" fillId="2" borderId="3" xfId="0" applyFont="1" applyFill="1" applyBorder="1" applyAlignment="1">
      <alignment horizontal="center" vertical="center"/>
    </xf>
    <xf numFmtId="0" fontId="15" fillId="2" borderId="7" xfId="0" applyFont="1" applyFill="1" applyBorder="1" applyAlignment="1">
      <alignment horizontal="center" vertical="center"/>
    </xf>
    <xf numFmtId="0" fontId="15" fillId="2" borderId="8" xfId="0" applyFont="1" applyFill="1" applyBorder="1" applyAlignment="1">
      <alignment horizontal="center" vertical="center"/>
    </xf>
    <xf numFmtId="0" fontId="28" fillId="0" borderId="9" xfId="0" applyFont="1" applyBorder="1" applyAlignment="1">
      <alignment horizontal="center" vertical="center" wrapText="1"/>
    </xf>
    <xf numFmtId="0" fontId="19" fillId="0" borderId="1" xfId="0" applyFont="1" applyBorder="1" applyAlignment="1">
      <alignment horizontal="center" vertical="center"/>
    </xf>
    <xf numFmtId="0" fontId="13" fillId="2" borderId="3"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cellXfs>
  <cellStyles count="11">
    <cellStyle name="Comma" xfId="1" builtinId="3"/>
    <cellStyle name="Comma 10 14" xfId="9"/>
    <cellStyle name="Comma 2" xfId="4"/>
    <cellStyle name="Comma 2 2 2" xfId="7"/>
    <cellStyle name="Normal" xfId="0" builtinId="0"/>
    <cellStyle name="Normal 14 3" xfId="8"/>
    <cellStyle name="Normal 172" xfId="5"/>
    <cellStyle name="Normal 2" xfId="3"/>
    <cellStyle name="Normal 2 2" xfId="10"/>
    <cellStyle name="Normal 2 2 2" xfId="6"/>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IPC%20Bill%20RA/0.00%20Revised%20IE%20PMS-07_PKG-02_21.1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Users\Admin\Documents\Progress%20Calculation%20PKG3%2001.12.2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al"/>
      <sheetName val="Abstract"/>
      <sheetName val="Price Adjustment"/>
      <sheetName val="Mob"/>
      <sheetName val="D Lake"/>
      <sheetName val="MPR"/>
      <sheetName val="Sch-G"/>
      <sheetName val="MPS-4"/>
      <sheetName val="SG-top"/>
      <sheetName val="GSB"/>
      <sheetName val="CTB"/>
      <sheetName val="WMM"/>
      <sheetName val="AIL"/>
      <sheetName val="DBM"/>
      <sheetName val="Shoulder"/>
      <sheetName val="Sheet1"/>
      <sheetName val="Culverts"/>
      <sheetName val="MNB-Foun"/>
      <sheetName val="MNB-Sub"/>
      <sheetName val="MNB-SS"/>
      <sheetName val="VUP-Foun"/>
      <sheetName val="VUP-Sub"/>
      <sheetName val="VUP-Gir"/>
      <sheetName val="VUP-SS"/>
      <sheetName val="Drain"/>
      <sheetName val="RE cast"/>
      <sheetName val="RE Erec"/>
      <sheetName val="MBCB"/>
      <sheetName val="Toe wall"/>
      <sheetName val="Slope Protection"/>
      <sheetName val="Check"/>
      <sheetName val="B Wall"/>
      <sheetName val="Mines"/>
      <sheetName val="Roy Abs"/>
      <sheetName val="Vouchers"/>
      <sheetName val="Concrete Qty"/>
      <sheetName val="B Wall Qty"/>
      <sheetName val="Qty"/>
      <sheetName val="Metal"/>
      <sheetName val="EW-Qty"/>
      <sheetName val="Con Qty-1"/>
      <sheetName val="Qty-1"/>
      <sheetName val="Metal-1"/>
      <sheetName val="EW Qty-1"/>
      <sheetName val="Aggregate Qty"/>
      <sheetName val="IE EW Cal"/>
      <sheetName val="EPC Cal E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1">
          <cell r="A1" t="str">
            <v>Development of Six-Lane Access Controlled Greenfield Highway from Vanavolu (Ch. 24+300) to Vankarakunta (Ch. 45+700) of Bengaluru – Vijayawada Economic Corridor on HAM Mode under Bharatmala Pariyojana Phase-I in the State of Andhra Pradesh (Package-2)</v>
          </cell>
        </row>
      </sheetData>
      <sheetData sheetId="40"/>
      <sheetData sheetId="41"/>
      <sheetData sheetId="42"/>
      <sheetData sheetId="43"/>
      <sheetData sheetId="44"/>
      <sheetData sheetId="45"/>
      <sheetData sheetId="4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17-03-24"/>
      <sheetName val="26-03-24"/>
      <sheetName val="01-04-24"/>
      <sheetName val="04-04-24"/>
      <sheetName val="06-04-24"/>
      <sheetName val="15-04-24"/>
      <sheetName val="22-04-24"/>
      <sheetName val="29-04-24"/>
      <sheetName val="06-05-24"/>
      <sheetName val="13-05-24"/>
      <sheetName val="20-05-24 "/>
      <sheetName val="27-05-24 "/>
      <sheetName val="08-07-24"/>
      <sheetName val="08-08-2024"/>
      <sheetName val="08-09-2024"/>
      <sheetName val="Sep-2024"/>
      <sheetName val="Sheet1"/>
      <sheetName val="Nov-2024"/>
      <sheetName val="Sheet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32">
          <cell r="L32">
            <v>13615</v>
          </cell>
        </row>
        <row r="61">
          <cell r="D61">
            <v>752</v>
          </cell>
        </row>
        <row r="62">
          <cell r="D62">
            <v>3513</v>
          </cell>
        </row>
      </sheetData>
      <sheetData sheetId="18"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dimension ref="B5:J26"/>
  <sheetViews>
    <sheetView topLeftCell="A4" workbookViewId="0">
      <selection activeCell="F8" sqref="F8"/>
    </sheetView>
  </sheetViews>
  <sheetFormatPr defaultRowHeight="15"/>
  <cols>
    <col min="3" max="3" width="30.7109375" customWidth="1"/>
    <col min="4" max="4" width="10" bestFit="1" customWidth="1"/>
    <col min="6" max="6" width="10" bestFit="1" customWidth="1"/>
    <col min="7" max="7" width="16.7109375" bestFit="1" customWidth="1"/>
  </cols>
  <sheetData>
    <row r="5" spans="2:7">
      <c r="B5" s="377" t="s">
        <v>15</v>
      </c>
      <c r="C5" s="377"/>
      <c r="D5" s="377"/>
      <c r="E5" s="377"/>
      <c r="F5" s="377"/>
      <c r="G5" s="377"/>
    </row>
    <row r="6" spans="2:7">
      <c r="B6" s="7" t="s">
        <v>14</v>
      </c>
      <c r="C6" s="7" t="s">
        <v>12</v>
      </c>
      <c r="D6" s="7" t="s">
        <v>1</v>
      </c>
      <c r="E6" s="7" t="s">
        <v>2</v>
      </c>
      <c r="F6" s="7" t="s">
        <v>16</v>
      </c>
      <c r="G6" s="7" t="s">
        <v>3</v>
      </c>
    </row>
    <row r="7" spans="2:7" ht="45">
      <c r="B7" s="6">
        <v>1</v>
      </c>
      <c r="C7" s="2" t="s">
        <v>0</v>
      </c>
      <c r="D7" s="1">
        <f>52.5+6.13</f>
        <v>58.63</v>
      </c>
      <c r="E7" s="1" t="s">
        <v>4</v>
      </c>
      <c r="F7" s="11">
        <v>30811.3</v>
      </c>
      <c r="G7" s="3">
        <f>D7*F7</f>
        <v>1806466.5190000001</v>
      </c>
    </row>
    <row r="8" spans="2:7" ht="180">
      <c r="B8" s="6">
        <v>2</v>
      </c>
      <c r="C8" s="2" t="s">
        <v>7</v>
      </c>
      <c r="D8" s="1"/>
      <c r="E8" s="1"/>
      <c r="F8" s="1"/>
      <c r="G8" s="3"/>
    </row>
    <row r="9" spans="2:7">
      <c r="B9" s="6"/>
      <c r="C9" s="1" t="s">
        <v>5</v>
      </c>
      <c r="D9" s="3">
        <f>3885+1225+600</f>
        <v>5710</v>
      </c>
      <c r="E9" s="1" t="s">
        <v>6</v>
      </c>
      <c r="F9" s="1">
        <v>90.23</v>
      </c>
      <c r="G9" s="3">
        <f>D9*F9</f>
        <v>515213.30000000005</v>
      </c>
    </row>
    <row r="10" spans="2:7" ht="60">
      <c r="B10" s="6">
        <v>3</v>
      </c>
      <c r="C10" s="2" t="s">
        <v>9</v>
      </c>
      <c r="D10" s="3"/>
      <c r="E10" s="1"/>
      <c r="F10" s="1"/>
      <c r="G10" s="3"/>
    </row>
    <row r="11" spans="2:7" ht="42.75" customHeight="1">
      <c r="B11" s="6"/>
      <c r="C11" s="4" t="s">
        <v>8</v>
      </c>
      <c r="D11" s="3"/>
      <c r="E11" s="1" t="s">
        <v>6</v>
      </c>
      <c r="F11" s="1"/>
      <c r="G11" s="3"/>
    </row>
    <row r="12" spans="2:7">
      <c r="B12" s="6"/>
      <c r="C12" s="1" t="s">
        <v>10</v>
      </c>
      <c r="D12" s="3">
        <f>3885+1150+600</f>
        <v>5635</v>
      </c>
      <c r="E12" s="1" t="s">
        <v>6</v>
      </c>
      <c r="F12" s="1">
        <v>96.91</v>
      </c>
      <c r="G12" s="3">
        <f>D12*F12</f>
        <v>546087.85</v>
      </c>
    </row>
    <row r="13" spans="2:7" ht="75">
      <c r="B13" s="6">
        <v>4</v>
      </c>
      <c r="C13" s="2" t="s">
        <v>13</v>
      </c>
      <c r="D13" s="1"/>
      <c r="E13" s="1"/>
      <c r="F13" s="1"/>
      <c r="G13" s="1"/>
    </row>
    <row r="14" spans="2:7" ht="30">
      <c r="B14" s="1"/>
      <c r="C14" s="2" t="s">
        <v>11</v>
      </c>
      <c r="D14" s="3">
        <v>50</v>
      </c>
      <c r="E14" s="1" t="s">
        <v>6</v>
      </c>
      <c r="F14" s="1">
        <v>96.91</v>
      </c>
      <c r="G14" s="3">
        <f>D14*F14</f>
        <v>4845.5</v>
      </c>
    </row>
    <row r="15" spans="2:7">
      <c r="E15" s="12">
        <f>G15/G16</f>
        <v>4.120154858650909E-4</v>
      </c>
      <c r="F15" s="9"/>
      <c r="G15" s="8">
        <f>SUM(G7:G14)</f>
        <v>2872613.1690000002</v>
      </c>
    </row>
    <row r="16" spans="2:7">
      <c r="E16" s="5">
        <v>100</v>
      </c>
      <c r="F16" s="5"/>
      <c r="G16" s="10">
        <v>6972100000</v>
      </c>
    </row>
    <row r="26" spans="10:10">
      <c r="J26">
        <f>60*4.5*35</f>
        <v>9450</v>
      </c>
    </row>
  </sheetData>
  <mergeCells count="1">
    <mergeCell ref="B5:G5"/>
  </mergeCells>
  <pageMargins left="0.7" right="0.7" top="0.75" bottom="0.75" header="0.3" footer="0.3"/>
</worksheet>
</file>

<file path=xl/worksheets/sheet2.xml><?xml version="1.0" encoding="utf-8"?>
<worksheet xmlns="http://schemas.openxmlformats.org/spreadsheetml/2006/main" xmlns:r="http://schemas.openxmlformats.org/officeDocument/2006/relationships">
  <sheetPr>
    <pageSetUpPr fitToPage="1"/>
  </sheetPr>
  <dimension ref="B5:J26"/>
  <sheetViews>
    <sheetView workbookViewId="0">
      <selection activeCell="D15" sqref="D15"/>
    </sheetView>
  </sheetViews>
  <sheetFormatPr defaultRowHeight="15"/>
  <cols>
    <col min="3" max="3" width="30.7109375" customWidth="1"/>
    <col min="4" max="4" width="10" bestFit="1" customWidth="1"/>
    <col min="6" max="6" width="10" bestFit="1" customWidth="1"/>
    <col min="7" max="7" width="16.7109375" bestFit="1" customWidth="1"/>
  </cols>
  <sheetData>
    <row r="5" spans="2:7">
      <c r="B5" s="377" t="s">
        <v>17</v>
      </c>
      <c r="C5" s="377"/>
      <c r="D5" s="377"/>
      <c r="E5" s="377"/>
      <c r="F5" s="377"/>
      <c r="G5" s="377"/>
    </row>
    <row r="6" spans="2:7">
      <c r="B6" s="7" t="s">
        <v>14</v>
      </c>
      <c r="C6" s="7" t="s">
        <v>12</v>
      </c>
      <c r="D6" s="7" t="s">
        <v>1</v>
      </c>
      <c r="E6" s="7" t="s">
        <v>2</v>
      </c>
      <c r="F6" s="7" t="s">
        <v>16</v>
      </c>
      <c r="G6" s="7" t="s">
        <v>3</v>
      </c>
    </row>
    <row r="7" spans="2:7" ht="45">
      <c r="B7" s="6">
        <v>1</v>
      </c>
      <c r="C7" s="2" t="s">
        <v>0</v>
      </c>
      <c r="D7" s="1">
        <f>52.5+6.13+30.28</f>
        <v>88.91</v>
      </c>
      <c r="E7" s="1" t="s">
        <v>4</v>
      </c>
      <c r="F7" s="11">
        <v>30811.3</v>
      </c>
      <c r="G7" s="3">
        <f>D7*F7</f>
        <v>2739432.6829999997</v>
      </c>
    </row>
    <row r="8" spans="2:7" ht="180">
      <c r="B8" s="6">
        <v>2</v>
      </c>
      <c r="C8" s="2" t="s">
        <v>7</v>
      </c>
      <c r="D8" s="1"/>
      <c r="E8" s="1"/>
      <c r="F8" s="1"/>
      <c r="G8" s="3"/>
    </row>
    <row r="9" spans="2:7">
      <c r="B9" s="6"/>
      <c r="C9" s="1" t="s">
        <v>5</v>
      </c>
      <c r="D9" s="3">
        <f>3885+1225+600+7917</f>
        <v>13627</v>
      </c>
      <c r="E9" s="1" t="s">
        <v>6</v>
      </c>
      <c r="F9" s="1">
        <v>90.23</v>
      </c>
      <c r="G9" s="3">
        <f>D9*F9</f>
        <v>1229564.21</v>
      </c>
    </row>
    <row r="10" spans="2:7" ht="60">
      <c r="B10" s="6">
        <v>3</v>
      </c>
      <c r="C10" s="2" t="s">
        <v>9</v>
      </c>
      <c r="D10" s="3"/>
      <c r="E10" s="1"/>
      <c r="F10" s="1"/>
      <c r="G10" s="3"/>
    </row>
    <row r="11" spans="2:7" ht="42.75" customHeight="1">
      <c r="B11" s="6"/>
      <c r="C11" s="4" t="s">
        <v>8</v>
      </c>
      <c r="D11" s="3"/>
      <c r="E11" s="1" t="s">
        <v>6</v>
      </c>
      <c r="F11" s="1"/>
      <c r="G11" s="3"/>
    </row>
    <row r="12" spans="2:7">
      <c r="B12" s="6"/>
      <c r="C12" s="1" t="s">
        <v>10</v>
      </c>
      <c r="D12" s="3">
        <f>3885+1150+600+7143</f>
        <v>12778</v>
      </c>
      <c r="E12" s="1" t="s">
        <v>6</v>
      </c>
      <c r="F12" s="1">
        <v>96.91</v>
      </c>
      <c r="G12" s="3">
        <f>D12*F12</f>
        <v>1238315.98</v>
      </c>
    </row>
    <row r="13" spans="2:7" ht="75">
      <c r="B13" s="6">
        <v>4</v>
      </c>
      <c r="C13" s="2" t="s">
        <v>13</v>
      </c>
      <c r="D13" s="1"/>
      <c r="E13" s="1"/>
      <c r="F13" s="1"/>
      <c r="G13" s="1"/>
    </row>
    <row r="14" spans="2:7" ht="30">
      <c r="B14" s="1"/>
      <c r="C14" s="2" t="s">
        <v>11</v>
      </c>
      <c r="D14" s="3">
        <v>100</v>
      </c>
      <c r="E14" s="1" t="s">
        <v>6</v>
      </c>
      <c r="F14" s="1">
        <v>96.91</v>
      </c>
      <c r="G14" s="3">
        <f>D14*F14</f>
        <v>9691</v>
      </c>
    </row>
    <row r="15" spans="2:7">
      <c r="E15" s="12">
        <f>G15/G16</f>
        <v>7.4826865262976714E-4</v>
      </c>
      <c r="F15" s="9"/>
      <c r="G15" s="8">
        <f>SUM(G7:G14)</f>
        <v>5217003.8729999997</v>
      </c>
    </row>
    <row r="16" spans="2:7">
      <c r="E16" s="5">
        <v>100</v>
      </c>
      <c r="F16" s="5"/>
      <c r="G16" s="10">
        <v>6972100000</v>
      </c>
    </row>
    <row r="26" spans="10:10">
      <c r="J26">
        <f>60*4.5*35</f>
        <v>9450</v>
      </c>
    </row>
  </sheetData>
  <mergeCells count="1">
    <mergeCell ref="B5:G5"/>
  </mergeCells>
  <pageMargins left="0.7" right="0.7" top="0.75" bottom="0.75" header="0.3" footer="0.3"/>
  <pageSetup paperSize="9" scale="71" orientation="portrait" r:id="rId1"/>
</worksheet>
</file>

<file path=xl/worksheets/sheet3.xml><?xml version="1.0" encoding="utf-8"?>
<worksheet xmlns="http://schemas.openxmlformats.org/spreadsheetml/2006/main" xmlns:r="http://schemas.openxmlformats.org/officeDocument/2006/relationships">
  <sheetPr>
    <pageSetUpPr fitToPage="1"/>
  </sheetPr>
  <dimension ref="B5:J26"/>
  <sheetViews>
    <sheetView topLeftCell="A4" workbookViewId="0">
      <selection activeCell="D15" sqref="D15"/>
    </sheetView>
  </sheetViews>
  <sheetFormatPr defaultRowHeight="15"/>
  <cols>
    <col min="3" max="3" width="30.7109375" customWidth="1"/>
    <col min="4" max="4" width="10" bestFit="1" customWidth="1"/>
    <col min="6" max="6" width="10" bestFit="1" customWidth="1"/>
    <col min="7" max="7" width="16.7109375" bestFit="1" customWidth="1"/>
  </cols>
  <sheetData>
    <row r="5" spans="2:7">
      <c r="B5" s="377" t="s">
        <v>18</v>
      </c>
      <c r="C5" s="377"/>
      <c r="D5" s="377"/>
      <c r="E5" s="377"/>
      <c r="F5" s="377"/>
      <c r="G5" s="377"/>
    </row>
    <row r="6" spans="2:7">
      <c r="B6" s="7" t="s">
        <v>14</v>
      </c>
      <c r="C6" s="7" t="s">
        <v>12</v>
      </c>
      <c r="D6" s="7" t="s">
        <v>1</v>
      </c>
      <c r="E6" s="7" t="s">
        <v>2</v>
      </c>
      <c r="F6" s="7" t="s">
        <v>16</v>
      </c>
      <c r="G6" s="7" t="s">
        <v>3</v>
      </c>
    </row>
    <row r="7" spans="2:7" ht="45">
      <c r="B7" s="6">
        <v>1</v>
      </c>
      <c r="C7" s="2" t="s">
        <v>0</v>
      </c>
      <c r="D7" s="1">
        <f>52.5+6.13+30.28+2.94</f>
        <v>91.85</v>
      </c>
      <c r="E7" s="1" t="s">
        <v>4</v>
      </c>
      <c r="F7" s="11">
        <v>30811.3</v>
      </c>
      <c r="G7" s="3">
        <f>D7*F7</f>
        <v>2830017.9049999998</v>
      </c>
    </row>
    <row r="8" spans="2:7" ht="180">
      <c r="B8" s="6">
        <v>2</v>
      </c>
      <c r="C8" s="2" t="s">
        <v>7</v>
      </c>
      <c r="D8" s="1"/>
      <c r="E8" s="1"/>
      <c r="F8" s="1"/>
      <c r="G8" s="3"/>
    </row>
    <row r="9" spans="2:7">
      <c r="B9" s="6"/>
      <c r="C9" s="1" t="s">
        <v>5</v>
      </c>
      <c r="D9" s="3">
        <f>3885+1225+600+7917+10512</f>
        <v>24139</v>
      </c>
      <c r="E9" s="1" t="s">
        <v>6</v>
      </c>
      <c r="F9" s="1">
        <v>90.23</v>
      </c>
      <c r="G9" s="3">
        <f>D9*F9</f>
        <v>2178061.9700000002</v>
      </c>
    </row>
    <row r="10" spans="2:7" ht="60">
      <c r="B10" s="6">
        <v>3</v>
      </c>
      <c r="C10" s="2" t="s">
        <v>9</v>
      </c>
      <c r="D10" s="3"/>
      <c r="E10" s="1"/>
      <c r="F10" s="1"/>
      <c r="G10" s="3"/>
    </row>
    <row r="11" spans="2:7" ht="42.75" customHeight="1">
      <c r="B11" s="6"/>
      <c r="C11" s="4" t="s">
        <v>8</v>
      </c>
      <c r="D11" s="3"/>
      <c r="E11" s="1" t="s">
        <v>6</v>
      </c>
      <c r="F11" s="1"/>
      <c r="G11" s="3"/>
    </row>
    <row r="12" spans="2:7">
      <c r="B12" s="6"/>
      <c r="C12" s="1" t="s">
        <v>10</v>
      </c>
      <c r="D12" s="3">
        <f>3885+1150+600+7143+9574</f>
        <v>22352</v>
      </c>
      <c r="E12" s="1" t="s">
        <v>6</v>
      </c>
      <c r="F12" s="1">
        <v>96.91</v>
      </c>
      <c r="G12" s="3">
        <f>D12*F12</f>
        <v>2166132.3199999998</v>
      </c>
    </row>
    <row r="13" spans="2:7" ht="75">
      <c r="B13" s="6">
        <v>4</v>
      </c>
      <c r="C13" s="2" t="s">
        <v>13</v>
      </c>
      <c r="D13" s="1"/>
      <c r="E13" s="1"/>
      <c r="F13" s="1"/>
      <c r="G13" s="1"/>
    </row>
    <row r="14" spans="2:7" ht="30">
      <c r="B14" s="1"/>
      <c r="C14" s="2" t="s">
        <v>11</v>
      </c>
      <c r="D14" s="3">
        <v>100</v>
      </c>
      <c r="E14" s="1" t="s">
        <v>6</v>
      </c>
      <c r="F14" s="1">
        <v>96.91</v>
      </c>
      <c r="G14" s="3">
        <f>D14*F14</f>
        <v>9691</v>
      </c>
    </row>
    <row r="15" spans="2:7">
      <c r="E15" s="13">
        <f>G15/G16</f>
        <v>1.0303786800246698E-3</v>
      </c>
      <c r="F15" s="9"/>
      <c r="G15" s="8">
        <f>SUM(G7:G14)</f>
        <v>7183903.1950000003</v>
      </c>
    </row>
    <row r="16" spans="2:7">
      <c r="E16" s="5">
        <v>100</v>
      </c>
      <c r="F16" s="5"/>
      <c r="G16" s="10">
        <v>6972100000</v>
      </c>
    </row>
    <row r="26" spans="10:10">
      <c r="J26">
        <f>60*4.5*35</f>
        <v>9450</v>
      </c>
    </row>
  </sheetData>
  <mergeCells count="1">
    <mergeCell ref="B5:G5"/>
  </mergeCells>
  <pageMargins left="0.7" right="0.7" top="0.75" bottom="0.75" header="0.3" footer="0.3"/>
  <pageSetup paperSize="9" scale="71" orientation="portrait" r:id="rId1"/>
</worksheet>
</file>

<file path=xl/worksheets/sheet4.xml><?xml version="1.0" encoding="utf-8"?>
<worksheet xmlns="http://schemas.openxmlformats.org/spreadsheetml/2006/main" xmlns:r="http://schemas.openxmlformats.org/officeDocument/2006/relationships">
  <sheetPr>
    <pageSetUpPr fitToPage="1"/>
  </sheetPr>
  <dimension ref="B2:J23"/>
  <sheetViews>
    <sheetView view="pageBreakPreview" zoomScaleSheetLayoutView="100" workbookViewId="0">
      <selection activeCell="D15" sqref="D15"/>
    </sheetView>
  </sheetViews>
  <sheetFormatPr defaultRowHeight="15"/>
  <cols>
    <col min="3" max="3" width="30.7109375" customWidth="1"/>
    <col min="4" max="4" width="10" bestFit="1" customWidth="1"/>
    <col min="6" max="6" width="10" bestFit="1" customWidth="1"/>
    <col min="7" max="7" width="16.7109375" bestFit="1" customWidth="1"/>
  </cols>
  <sheetData>
    <row r="2" spans="2:7">
      <c r="B2" s="377" t="s">
        <v>19</v>
      </c>
      <c r="C2" s="377"/>
      <c r="D2" s="377"/>
      <c r="E2" s="377"/>
      <c r="F2" s="377"/>
      <c r="G2" s="377"/>
    </row>
    <row r="3" spans="2:7">
      <c r="B3" s="7" t="s">
        <v>14</v>
      </c>
      <c r="C3" s="7" t="s">
        <v>12</v>
      </c>
      <c r="D3" s="7" t="s">
        <v>1</v>
      </c>
      <c r="E3" s="7" t="s">
        <v>2</v>
      </c>
      <c r="F3" s="7" t="s">
        <v>16</v>
      </c>
      <c r="G3" s="7" t="s">
        <v>3</v>
      </c>
    </row>
    <row r="4" spans="2:7" ht="45">
      <c r="B4" s="6">
        <v>1</v>
      </c>
      <c r="C4" s="2" t="s">
        <v>0</v>
      </c>
      <c r="D4" s="1">
        <f>52.5+6.13+30.28+2.94</f>
        <v>91.85</v>
      </c>
      <c r="E4" s="1" t="s">
        <v>4</v>
      </c>
      <c r="F4" s="11">
        <v>30811.3</v>
      </c>
      <c r="G4" s="3">
        <f>D4*F4</f>
        <v>2830017.9049999998</v>
      </c>
    </row>
    <row r="5" spans="2:7" ht="180">
      <c r="B5" s="6">
        <v>2</v>
      </c>
      <c r="C5" s="2" t="s">
        <v>7</v>
      </c>
      <c r="D5" s="1"/>
      <c r="E5" s="1"/>
      <c r="F5" s="1"/>
      <c r="G5" s="3"/>
    </row>
    <row r="6" spans="2:7">
      <c r="B6" s="6"/>
      <c r="C6" s="1" t="s">
        <v>5</v>
      </c>
      <c r="D6" s="3">
        <f>3885+1225+600+7917+10512+5234</f>
        <v>29373</v>
      </c>
      <c r="E6" s="1" t="s">
        <v>6</v>
      </c>
      <c r="F6" s="1">
        <v>90.23</v>
      </c>
      <c r="G6" s="3">
        <f>D6*F6</f>
        <v>2650325.79</v>
      </c>
    </row>
    <row r="7" spans="2:7" ht="60">
      <c r="B7" s="6">
        <v>3</v>
      </c>
      <c r="C7" s="2" t="s">
        <v>9</v>
      </c>
      <c r="D7" s="3"/>
      <c r="E7" s="1"/>
      <c r="F7" s="1"/>
      <c r="G7" s="3"/>
    </row>
    <row r="8" spans="2:7" ht="42.75" customHeight="1">
      <c r="B8" s="6"/>
      <c r="C8" s="4" t="s">
        <v>8</v>
      </c>
      <c r="D8" s="3"/>
      <c r="E8" s="1" t="s">
        <v>6</v>
      </c>
      <c r="F8" s="1"/>
      <c r="G8" s="3"/>
    </row>
    <row r="9" spans="2:7">
      <c r="B9" s="6"/>
      <c r="C9" s="1" t="s">
        <v>10</v>
      </c>
      <c r="D9" s="3">
        <f>3885+1150+600+7143+9574+5665</f>
        <v>28017</v>
      </c>
      <c r="E9" s="1" t="s">
        <v>6</v>
      </c>
      <c r="F9" s="1">
        <v>96.91</v>
      </c>
      <c r="G9" s="3">
        <f>D9*F9</f>
        <v>2715127.4699999997</v>
      </c>
    </row>
    <row r="10" spans="2:7" ht="75">
      <c r="B10" s="6">
        <v>4</v>
      </c>
      <c r="C10" s="2" t="s">
        <v>13</v>
      </c>
      <c r="D10" s="1"/>
      <c r="E10" s="1"/>
      <c r="F10" s="1"/>
      <c r="G10" s="1"/>
    </row>
    <row r="11" spans="2:7" ht="30">
      <c r="B11" s="1"/>
      <c r="C11" s="2" t="s">
        <v>11</v>
      </c>
      <c r="D11" s="3">
        <v>100</v>
      </c>
      <c r="E11" s="1" t="s">
        <v>6</v>
      </c>
      <c r="F11" s="1">
        <v>96.91</v>
      </c>
      <c r="G11" s="3">
        <f>D11*F11</f>
        <v>9691</v>
      </c>
    </row>
    <row r="12" spans="2:7">
      <c r="E12" s="13">
        <f>G12/G13</f>
        <v>1.1768566378852856E-3</v>
      </c>
      <c r="F12" s="9"/>
      <c r="G12" s="8">
        <f>SUM(G4:G11)</f>
        <v>8205162.165</v>
      </c>
    </row>
    <row r="13" spans="2:7">
      <c r="E13" s="5">
        <v>100</v>
      </c>
      <c r="F13" s="5"/>
      <c r="G13" s="10">
        <v>6972100000</v>
      </c>
    </row>
    <row r="23" spans="10:10">
      <c r="J23">
        <f>60*4.5*35</f>
        <v>9450</v>
      </c>
    </row>
  </sheetData>
  <mergeCells count="1">
    <mergeCell ref="B2:G2"/>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sheetPr>
    <pageSetUpPr fitToPage="1"/>
  </sheetPr>
  <dimension ref="B2:J23"/>
  <sheetViews>
    <sheetView view="pageBreakPreview" zoomScaleSheetLayoutView="100" workbookViewId="0">
      <selection activeCell="D15" sqref="D15"/>
    </sheetView>
  </sheetViews>
  <sheetFormatPr defaultRowHeight="15"/>
  <cols>
    <col min="3" max="3" width="30.7109375" customWidth="1"/>
    <col min="4" max="4" width="10" bestFit="1" customWidth="1"/>
    <col min="6" max="6" width="10" bestFit="1" customWidth="1"/>
    <col min="7" max="7" width="16.7109375" bestFit="1" customWidth="1"/>
  </cols>
  <sheetData>
    <row r="2" spans="2:7">
      <c r="B2" s="377" t="s">
        <v>20</v>
      </c>
      <c r="C2" s="377"/>
      <c r="D2" s="377"/>
      <c r="E2" s="377"/>
      <c r="F2" s="377"/>
      <c r="G2" s="377"/>
    </row>
    <row r="3" spans="2:7">
      <c r="B3" s="7" t="s">
        <v>14</v>
      </c>
      <c r="C3" s="7" t="s">
        <v>12</v>
      </c>
      <c r="D3" s="7" t="s">
        <v>1</v>
      </c>
      <c r="E3" s="7" t="s">
        <v>2</v>
      </c>
      <c r="F3" s="7" t="s">
        <v>16</v>
      </c>
      <c r="G3" s="7" t="s">
        <v>3</v>
      </c>
    </row>
    <row r="4" spans="2:7" ht="45">
      <c r="B4" s="6">
        <v>1</v>
      </c>
      <c r="C4" s="2" t="s">
        <v>0</v>
      </c>
      <c r="D4" s="1">
        <f>52.5+6.13+30.28+2.94+1.26</f>
        <v>93.11</v>
      </c>
      <c r="E4" s="1" t="s">
        <v>4</v>
      </c>
      <c r="F4" s="11">
        <v>30811.3</v>
      </c>
      <c r="G4" s="3">
        <f>D4*F4</f>
        <v>2868840.1429999997</v>
      </c>
    </row>
    <row r="5" spans="2:7" ht="180">
      <c r="B5" s="6">
        <v>2</v>
      </c>
      <c r="C5" s="2" t="s">
        <v>7</v>
      </c>
      <c r="D5" s="1"/>
      <c r="E5" s="1"/>
      <c r="F5" s="1"/>
      <c r="G5" s="3"/>
    </row>
    <row r="6" spans="2:7">
      <c r="B6" s="6"/>
      <c r="C6" s="1" t="s">
        <v>5</v>
      </c>
      <c r="D6" s="3">
        <f>3885+1225+600+7917+10512+9445</f>
        <v>33584</v>
      </c>
      <c r="E6" s="1" t="s">
        <v>6</v>
      </c>
      <c r="F6" s="1">
        <v>90.23</v>
      </c>
      <c r="G6" s="3">
        <f>D6*F6</f>
        <v>3030284.3200000003</v>
      </c>
    </row>
    <row r="7" spans="2:7" ht="60">
      <c r="B7" s="6">
        <v>3</v>
      </c>
      <c r="C7" s="2" t="s">
        <v>9</v>
      </c>
      <c r="D7" s="3"/>
      <c r="E7" s="1"/>
      <c r="F7" s="1"/>
      <c r="G7" s="3"/>
    </row>
    <row r="8" spans="2:7" ht="42.75" customHeight="1">
      <c r="B8" s="6"/>
      <c r="C8" s="4" t="s">
        <v>8</v>
      </c>
      <c r="D8" s="3"/>
      <c r="E8" s="1" t="s">
        <v>6</v>
      </c>
      <c r="F8" s="1"/>
      <c r="G8" s="3"/>
    </row>
    <row r="9" spans="2:7">
      <c r="B9" s="6"/>
      <c r="C9" s="1" t="s">
        <v>10</v>
      </c>
      <c r="D9" s="3">
        <f>3885+1150+600+7143+9574+11077</f>
        <v>33429</v>
      </c>
      <c r="E9" s="1" t="s">
        <v>6</v>
      </c>
      <c r="F9" s="1">
        <v>96.91</v>
      </c>
      <c r="G9" s="3">
        <f>D9*F9</f>
        <v>3239604.3899999997</v>
      </c>
    </row>
    <row r="10" spans="2:7" ht="75">
      <c r="B10" s="6">
        <v>4</v>
      </c>
      <c r="C10" s="2" t="s">
        <v>13</v>
      </c>
      <c r="D10" s="1"/>
      <c r="E10" s="1"/>
      <c r="F10" s="1"/>
      <c r="G10" s="1"/>
    </row>
    <row r="11" spans="2:7" ht="30">
      <c r="B11" s="1"/>
      <c r="C11" s="2" t="s">
        <v>11</v>
      </c>
      <c r="D11" s="3">
        <v>100</v>
      </c>
      <c r="E11" s="1" t="s">
        <v>6</v>
      </c>
      <c r="F11" s="1">
        <v>96.91</v>
      </c>
      <c r="G11" s="3">
        <f>D11*F11</f>
        <v>9691</v>
      </c>
    </row>
    <row r="12" spans="2:7">
      <c r="E12" s="13">
        <f>G12/G13</f>
        <v>1.3121469647595417E-3</v>
      </c>
      <c r="F12" s="9"/>
      <c r="G12" s="8">
        <f>SUM(G4:G11)</f>
        <v>9148419.8530000001</v>
      </c>
    </row>
    <row r="13" spans="2:7">
      <c r="E13" s="5">
        <v>100</v>
      </c>
      <c r="F13" s="5"/>
      <c r="G13" s="10">
        <v>6972100000</v>
      </c>
    </row>
    <row r="23" spans="10:10">
      <c r="J23">
        <f>60*4.5*35</f>
        <v>9450</v>
      </c>
    </row>
  </sheetData>
  <mergeCells count="1">
    <mergeCell ref="B2:G2"/>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sheetPr>
    <pageSetUpPr fitToPage="1"/>
  </sheetPr>
  <dimension ref="B2:J25"/>
  <sheetViews>
    <sheetView view="pageBreakPreview" zoomScaleSheetLayoutView="100" workbookViewId="0">
      <selection activeCell="D15" sqref="D15"/>
    </sheetView>
  </sheetViews>
  <sheetFormatPr defaultRowHeight="15"/>
  <cols>
    <col min="3" max="3" width="30.7109375" customWidth="1"/>
    <col min="4" max="4" width="10" bestFit="1" customWidth="1"/>
    <col min="6" max="6" width="10" bestFit="1" customWidth="1"/>
    <col min="7" max="7" width="16.7109375" bestFit="1" customWidth="1"/>
  </cols>
  <sheetData>
    <row r="2" spans="2:7">
      <c r="B2" s="377" t="s">
        <v>21</v>
      </c>
      <c r="C2" s="377"/>
      <c r="D2" s="377"/>
      <c r="E2" s="377"/>
      <c r="F2" s="377"/>
      <c r="G2" s="377"/>
    </row>
    <row r="3" spans="2:7">
      <c r="B3" s="7" t="s">
        <v>14</v>
      </c>
      <c r="C3" s="7" t="s">
        <v>12</v>
      </c>
      <c r="D3" s="7" t="s">
        <v>1</v>
      </c>
      <c r="E3" s="7" t="s">
        <v>2</v>
      </c>
      <c r="F3" s="7" t="s">
        <v>16</v>
      </c>
      <c r="G3" s="7" t="s">
        <v>3</v>
      </c>
    </row>
    <row r="4" spans="2:7" ht="45">
      <c r="B4" s="6">
        <v>1</v>
      </c>
      <c r="C4" s="2" t="s">
        <v>0</v>
      </c>
      <c r="D4" s="1">
        <f>52.5+6.13+30.28+2.94+1.26+3.78</f>
        <v>96.89</v>
      </c>
      <c r="E4" s="1" t="s">
        <v>4</v>
      </c>
      <c r="F4" s="11">
        <v>30811.3</v>
      </c>
      <c r="G4" s="3">
        <f>D4*F4</f>
        <v>2985306.8569999998</v>
      </c>
    </row>
    <row r="5" spans="2:7" ht="180">
      <c r="B5" s="6">
        <v>2</v>
      </c>
      <c r="C5" s="2" t="s">
        <v>7</v>
      </c>
      <c r="D5" s="1"/>
      <c r="E5" s="1"/>
      <c r="F5" s="1"/>
      <c r="G5" s="3"/>
    </row>
    <row r="6" spans="2:7">
      <c r="B6" s="6"/>
      <c r="C6" s="1" t="s">
        <v>5</v>
      </c>
      <c r="D6" s="3">
        <f>3885+1225+600+7917+10512+9445+14016</f>
        <v>47600</v>
      </c>
      <c r="E6" s="1" t="s">
        <v>6</v>
      </c>
      <c r="F6" s="1">
        <v>90.23</v>
      </c>
      <c r="G6" s="3">
        <f>D6*F6</f>
        <v>4294948</v>
      </c>
    </row>
    <row r="7" spans="2:7" ht="60">
      <c r="B7" s="6">
        <v>3</v>
      </c>
      <c r="C7" s="2" t="s">
        <v>9</v>
      </c>
      <c r="D7" s="3"/>
      <c r="E7" s="1"/>
      <c r="F7" s="1"/>
      <c r="G7" s="3"/>
    </row>
    <row r="8" spans="2:7" ht="42.75" customHeight="1">
      <c r="B8" s="6"/>
      <c r="C8" s="4" t="s">
        <v>8</v>
      </c>
      <c r="D8" s="3"/>
      <c r="E8" s="1" t="s">
        <v>6</v>
      </c>
      <c r="F8" s="1"/>
      <c r="G8" s="3"/>
    </row>
    <row r="9" spans="2:7">
      <c r="B9" s="6"/>
      <c r="C9" s="1" t="s">
        <v>10</v>
      </c>
      <c r="D9" s="3">
        <f>3885+1150+600+7143+9574+11077+12602</f>
        <v>46031</v>
      </c>
      <c r="E9" s="1" t="s">
        <v>6</v>
      </c>
      <c r="F9" s="1">
        <v>96.91</v>
      </c>
      <c r="G9" s="3">
        <f>D9*F9</f>
        <v>4460864.21</v>
      </c>
    </row>
    <row r="10" spans="2:7">
      <c r="B10" s="6"/>
      <c r="C10" s="5" t="s">
        <v>22</v>
      </c>
      <c r="D10" s="3"/>
      <c r="E10" s="1"/>
      <c r="F10" s="1"/>
      <c r="G10" s="3"/>
    </row>
    <row r="11" spans="2:7" ht="75">
      <c r="B11" s="6">
        <v>4</v>
      </c>
      <c r="C11" s="2" t="s">
        <v>13</v>
      </c>
      <c r="D11" s="1"/>
      <c r="E11" s="1"/>
      <c r="F11" s="1"/>
      <c r="G11" s="1"/>
    </row>
    <row r="12" spans="2:7" ht="30">
      <c r="B12" s="1"/>
      <c r="C12" s="2" t="s">
        <v>11</v>
      </c>
      <c r="D12" s="3">
        <f>100+176</f>
        <v>276</v>
      </c>
      <c r="E12" s="1" t="s">
        <v>6</v>
      </c>
      <c r="F12" s="1">
        <v>96.91</v>
      </c>
      <c r="G12" s="3">
        <f>D12*F12</f>
        <v>26747.16</v>
      </c>
    </row>
    <row r="13" spans="2:7" ht="90">
      <c r="B13" s="1"/>
      <c r="C13" s="2" t="s">
        <v>23</v>
      </c>
      <c r="D13" s="3">
        <v>30.11</v>
      </c>
      <c r="E13" s="1" t="s">
        <v>6</v>
      </c>
      <c r="F13" s="1">
        <v>4576.99</v>
      </c>
      <c r="G13" s="3">
        <f>D13*F13</f>
        <v>137813.16889999999</v>
      </c>
    </row>
    <row r="14" spans="2:7">
      <c r="E14" s="13">
        <f>G14/G15</f>
        <v>1.7076174174065202E-3</v>
      </c>
      <c r="F14" s="9"/>
      <c r="G14" s="8">
        <f>SUM(G4:G13)</f>
        <v>11905679.3959</v>
      </c>
    </row>
    <row r="15" spans="2:7">
      <c r="E15" s="5">
        <v>100</v>
      </c>
      <c r="F15" s="5"/>
      <c r="G15" s="10">
        <v>6972100000</v>
      </c>
    </row>
    <row r="25" spans="10:10">
      <c r="J25">
        <f>60*4.5*35</f>
        <v>9450</v>
      </c>
    </row>
  </sheetData>
  <mergeCells count="1">
    <mergeCell ref="B2:G2"/>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sheetPr>
    <pageSetUpPr fitToPage="1"/>
  </sheetPr>
  <dimension ref="B2:J30"/>
  <sheetViews>
    <sheetView view="pageBreakPreview" topLeftCell="A13" zoomScaleSheetLayoutView="100" workbookViewId="0">
      <selection activeCell="D15" sqref="D15"/>
    </sheetView>
  </sheetViews>
  <sheetFormatPr defaultRowHeight="15"/>
  <cols>
    <col min="3" max="3" width="30.7109375" customWidth="1"/>
    <col min="4" max="4" width="10" bestFit="1" customWidth="1"/>
    <col min="6" max="6" width="10" bestFit="1" customWidth="1"/>
    <col min="7" max="7" width="16.7109375" bestFit="1" customWidth="1"/>
  </cols>
  <sheetData>
    <row r="2" spans="2:7">
      <c r="B2" s="377" t="s">
        <v>24</v>
      </c>
      <c r="C2" s="377"/>
      <c r="D2" s="377"/>
      <c r="E2" s="377"/>
      <c r="F2" s="377"/>
      <c r="G2" s="377"/>
    </row>
    <row r="3" spans="2:7">
      <c r="B3" s="7" t="s">
        <v>14</v>
      </c>
      <c r="C3" s="7" t="s">
        <v>12</v>
      </c>
      <c r="D3" s="7" t="s">
        <v>1</v>
      </c>
      <c r="E3" s="7" t="s">
        <v>2</v>
      </c>
      <c r="F3" s="7" t="s">
        <v>16</v>
      </c>
      <c r="G3" s="7" t="s">
        <v>3</v>
      </c>
    </row>
    <row r="4" spans="2:7" ht="45">
      <c r="B4" s="6">
        <v>1</v>
      </c>
      <c r="C4" s="2" t="s">
        <v>0</v>
      </c>
      <c r="D4" s="1">
        <f>52.5+6.13+30.28+2.94+1.26+3.78+3.26</f>
        <v>100.15</v>
      </c>
      <c r="E4" s="1" t="s">
        <v>4</v>
      </c>
      <c r="F4" s="11">
        <v>30811.3</v>
      </c>
      <c r="G4" s="3">
        <f>D4*F4</f>
        <v>3085751.6950000003</v>
      </c>
    </row>
    <row r="5" spans="2:7" ht="180">
      <c r="B5" s="6">
        <v>2</v>
      </c>
      <c r="C5" s="2" t="s">
        <v>7</v>
      </c>
      <c r="D5" s="1"/>
      <c r="E5" s="1"/>
      <c r="F5" s="1"/>
      <c r="G5" s="3"/>
    </row>
    <row r="6" spans="2:7">
      <c r="B6" s="6"/>
      <c r="C6" s="1" t="s">
        <v>5</v>
      </c>
      <c r="D6" s="3">
        <f>3885+1225+600+7917+10512+9445+14016+11518</f>
        <v>59118</v>
      </c>
      <c r="E6" s="1" t="s">
        <v>6</v>
      </c>
      <c r="F6" s="1">
        <v>90.23</v>
      </c>
      <c r="G6" s="3">
        <f>D6*F6</f>
        <v>5334217.1400000006</v>
      </c>
    </row>
    <row r="7" spans="2:7" ht="60">
      <c r="B7" s="6">
        <v>3</v>
      </c>
      <c r="C7" s="2" t="s">
        <v>9</v>
      </c>
      <c r="D7" s="3"/>
      <c r="E7" s="1"/>
      <c r="F7" s="1"/>
      <c r="G7" s="3"/>
    </row>
    <row r="8" spans="2:7" ht="42.75" customHeight="1">
      <c r="B8" s="6"/>
      <c r="C8" s="4" t="s">
        <v>8</v>
      </c>
      <c r="D8" s="3"/>
      <c r="E8" s="1" t="s">
        <v>6</v>
      </c>
      <c r="F8" s="1"/>
      <c r="G8" s="3"/>
    </row>
    <row r="9" spans="2:7">
      <c r="B9" s="6"/>
      <c r="C9" s="1" t="s">
        <v>10</v>
      </c>
      <c r="D9" s="3">
        <f>3885+1150+600+7143+9574+11077+12602+9981</f>
        <v>56012</v>
      </c>
      <c r="E9" s="1" t="s">
        <v>6</v>
      </c>
      <c r="F9" s="1">
        <v>96.91</v>
      </c>
      <c r="G9" s="3">
        <f>D9*F9</f>
        <v>5428122.9199999999</v>
      </c>
    </row>
    <row r="10" spans="2:7">
      <c r="B10" s="6"/>
      <c r="C10" s="5" t="s">
        <v>22</v>
      </c>
      <c r="D10" s="3"/>
      <c r="E10" s="1"/>
      <c r="F10" s="1"/>
      <c r="G10" s="3"/>
    </row>
    <row r="11" spans="2:7" ht="75">
      <c r="B11" s="6">
        <v>4</v>
      </c>
      <c r="C11" s="2" t="s">
        <v>13</v>
      </c>
      <c r="D11" s="1"/>
      <c r="E11" s="1"/>
      <c r="F11" s="1"/>
      <c r="G11" s="1"/>
    </row>
    <row r="12" spans="2:7" ht="30">
      <c r="B12" s="1"/>
      <c r="C12" s="2" t="s">
        <v>11</v>
      </c>
      <c r="D12" s="3">
        <f>100+176+157</f>
        <v>433</v>
      </c>
      <c r="E12" s="1" t="s">
        <v>6</v>
      </c>
      <c r="F12" s="1">
        <v>96.91</v>
      </c>
      <c r="G12" s="3">
        <f>D12*F12</f>
        <v>41962.03</v>
      </c>
    </row>
    <row r="13" spans="2:7" ht="90">
      <c r="B13" s="1"/>
      <c r="C13" s="2" t="s">
        <v>23</v>
      </c>
      <c r="D13" s="3">
        <f>30.11+32</f>
        <v>62.11</v>
      </c>
      <c r="E13" s="1" t="s">
        <v>6</v>
      </c>
      <c r="F13" s="1">
        <v>4576.99</v>
      </c>
      <c r="G13" s="3">
        <f>D13*F13</f>
        <v>284276.84889999998</v>
      </c>
    </row>
    <row r="14" spans="2:7" ht="90">
      <c r="B14" s="1"/>
      <c r="C14" s="2" t="s">
        <v>25</v>
      </c>
      <c r="D14" s="3">
        <v>27.9</v>
      </c>
      <c r="E14" s="1" t="s">
        <v>6</v>
      </c>
      <c r="F14" s="1">
        <v>5868.53</v>
      </c>
      <c r="G14" s="3">
        <f>D14*F14</f>
        <v>163731.98699999999</v>
      </c>
    </row>
    <row r="15" spans="2:7">
      <c r="B15" s="6"/>
      <c r="C15" s="5" t="s">
        <v>26</v>
      </c>
      <c r="D15" s="3"/>
      <c r="E15" s="1"/>
      <c r="F15" s="1"/>
      <c r="G15" s="3"/>
    </row>
    <row r="16" spans="2:7" ht="75">
      <c r="B16" s="6">
        <v>5</v>
      </c>
      <c r="C16" s="2" t="s">
        <v>13</v>
      </c>
      <c r="D16" s="1"/>
      <c r="E16" s="1"/>
      <c r="F16" s="1"/>
      <c r="G16" s="1"/>
    </row>
    <row r="17" spans="2:10" ht="30">
      <c r="B17" s="1"/>
      <c r="C17" s="2" t="s">
        <v>11</v>
      </c>
      <c r="D17" s="3">
        <v>1280</v>
      </c>
      <c r="E17" s="1" t="s">
        <v>6</v>
      </c>
      <c r="F17" s="1">
        <v>112.79</v>
      </c>
      <c r="G17" s="3">
        <f>D17*F17</f>
        <v>144371.20000000001</v>
      </c>
    </row>
    <row r="18" spans="2:10">
      <c r="C18" s="14"/>
      <c r="D18" s="15"/>
      <c r="E18" s="1"/>
      <c r="F18" s="1"/>
      <c r="G18" s="3"/>
    </row>
    <row r="19" spans="2:10">
      <c r="E19" s="13">
        <f>G19/G20</f>
        <v>2.0771982359547338E-3</v>
      </c>
      <c r="F19" s="9"/>
      <c r="G19" s="8">
        <f>SUM(G4:G18)</f>
        <v>14482433.820899999</v>
      </c>
    </row>
    <row r="20" spans="2:10">
      <c r="E20" s="5">
        <v>100</v>
      </c>
      <c r="F20" s="5"/>
      <c r="G20" s="10">
        <v>6972100000</v>
      </c>
    </row>
    <row r="30" spans="2:10">
      <c r="J30">
        <f>60*4.5*35</f>
        <v>9450</v>
      </c>
    </row>
  </sheetData>
  <mergeCells count="1">
    <mergeCell ref="B2:G2"/>
  </mergeCells>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8.xml><?xml version="1.0" encoding="utf-8"?>
<worksheet xmlns="http://schemas.openxmlformats.org/spreadsheetml/2006/main" xmlns:r="http://schemas.openxmlformats.org/officeDocument/2006/relationships">
  <sheetPr>
    <pageSetUpPr fitToPage="1"/>
  </sheetPr>
  <dimension ref="B2:J31"/>
  <sheetViews>
    <sheetView view="pageBreakPreview" zoomScaleSheetLayoutView="100" workbookViewId="0">
      <selection activeCell="D16" sqref="D16"/>
    </sheetView>
  </sheetViews>
  <sheetFormatPr defaultRowHeight="15"/>
  <cols>
    <col min="3" max="3" width="30.7109375" customWidth="1"/>
    <col min="4" max="4" width="10" bestFit="1" customWidth="1"/>
    <col min="6" max="6" width="10" bestFit="1" customWidth="1"/>
    <col min="7" max="7" width="16.7109375" bestFit="1" customWidth="1"/>
  </cols>
  <sheetData>
    <row r="2" spans="2:7">
      <c r="B2" s="377" t="s">
        <v>27</v>
      </c>
      <c r="C2" s="377"/>
      <c r="D2" s="377"/>
      <c r="E2" s="377"/>
      <c r="F2" s="377"/>
      <c r="G2" s="377"/>
    </row>
    <row r="3" spans="2:7">
      <c r="B3" s="7" t="s">
        <v>14</v>
      </c>
      <c r="C3" s="7" t="s">
        <v>12</v>
      </c>
      <c r="D3" s="7" t="s">
        <v>1</v>
      </c>
      <c r="E3" s="7" t="s">
        <v>2</v>
      </c>
      <c r="F3" s="7" t="s">
        <v>16</v>
      </c>
      <c r="G3" s="7" t="s">
        <v>3</v>
      </c>
    </row>
    <row r="4" spans="2:7" ht="45">
      <c r="B4" s="6">
        <v>1</v>
      </c>
      <c r="C4" s="2" t="s">
        <v>0</v>
      </c>
      <c r="D4" s="1">
        <f>52.5+6.13+30.28+2.94+1.26+3.78+3.26+1.48</f>
        <v>101.63000000000001</v>
      </c>
      <c r="E4" s="1" t="s">
        <v>4</v>
      </c>
      <c r="F4" s="11">
        <v>30811.3</v>
      </c>
      <c r="G4" s="3">
        <f>D4*F4</f>
        <v>3131352.4190000002</v>
      </c>
    </row>
    <row r="5" spans="2:7" ht="180">
      <c r="B5" s="6">
        <v>2</v>
      </c>
      <c r="C5" s="2" t="s">
        <v>7</v>
      </c>
      <c r="D5" s="1"/>
      <c r="E5" s="1"/>
      <c r="F5" s="1"/>
      <c r="G5" s="3"/>
    </row>
    <row r="6" spans="2:7">
      <c r="B6" s="6"/>
      <c r="C6" s="1" t="s">
        <v>5</v>
      </c>
      <c r="D6" s="3">
        <f>3885+1225+600+7917+10512+9445+14016+11518+10045</f>
        <v>69163</v>
      </c>
      <c r="E6" s="1" t="s">
        <v>6</v>
      </c>
      <c r="F6" s="1">
        <v>90.23</v>
      </c>
      <c r="G6" s="3">
        <f>D6*F6</f>
        <v>6240577.4900000002</v>
      </c>
    </row>
    <row r="7" spans="2:7" ht="60">
      <c r="B7" s="6">
        <v>3</v>
      </c>
      <c r="C7" s="2" t="s">
        <v>9</v>
      </c>
      <c r="D7" s="3"/>
      <c r="E7" s="1"/>
      <c r="F7" s="1"/>
      <c r="G7" s="3"/>
    </row>
    <row r="8" spans="2:7" ht="42.75" customHeight="1">
      <c r="B8" s="6"/>
      <c r="C8" s="4" t="s">
        <v>8</v>
      </c>
      <c r="D8" s="3"/>
      <c r="E8" s="1" t="s">
        <v>6</v>
      </c>
      <c r="F8" s="1"/>
      <c r="G8" s="3"/>
    </row>
    <row r="9" spans="2:7">
      <c r="B9" s="6"/>
      <c r="C9" s="1" t="s">
        <v>10</v>
      </c>
      <c r="D9" s="3">
        <f>3885+1150+600+7143+9574+11077+12602+9981+10000</f>
        <v>66012</v>
      </c>
      <c r="E9" s="1" t="s">
        <v>6</v>
      </c>
      <c r="F9" s="1">
        <v>96.91</v>
      </c>
      <c r="G9" s="3">
        <f>D9*F9</f>
        <v>6397222.9199999999</v>
      </c>
    </row>
    <row r="10" spans="2:7">
      <c r="B10" s="6"/>
      <c r="C10" s="5" t="s">
        <v>22</v>
      </c>
      <c r="D10" s="3"/>
      <c r="E10" s="1"/>
      <c r="F10" s="1"/>
      <c r="G10" s="3"/>
    </row>
    <row r="11" spans="2:7" ht="75">
      <c r="B11" s="6">
        <v>4</v>
      </c>
      <c r="C11" s="2" t="s">
        <v>13</v>
      </c>
      <c r="D11" s="1"/>
      <c r="E11" s="1"/>
      <c r="F11" s="1"/>
      <c r="G11" s="1"/>
    </row>
    <row r="12" spans="2:7" ht="30">
      <c r="B12" s="1"/>
      <c r="C12" s="2" t="s">
        <v>11</v>
      </c>
      <c r="D12" s="3">
        <f>100+176+157+83.15</f>
        <v>516.15</v>
      </c>
      <c r="E12" s="1" t="s">
        <v>6</v>
      </c>
      <c r="F12" s="1">
        <v>96.91</v>
      </c>
      <c r="G12" s="3">
        <f>D12*F12</f>
        <v>50020.0965</v>
      </c>
    </row>
    <row r="13" spans="2:7" ht="90">
      <c r="B13" s="1"/>
      <c r="C13" s="2" t="s">
        <v>23</v>
      </c>
      <c r="D13" s="3">
        <f>30.11+32+11.14</f>
        <v>73.25</v>
      </c>
      <c r="E13" s="1" t="s">
        <v>6</v>
      </c>
      <c r="F13" s="1">
        <v>4576.99</v>
      </c>
      <c r="G13" s="3">
        <f>D13*F13</f>
        <v>335264.51749999996</v>
      </c>
    </row>
    <row r="14" spans="2:7" ht="90">
      <c r="B14" s="1"/>
      <c r="C14" s="2" t="s">
        <v>25</v>
      </c>
      <c r="D14" s="3">
        <f>27.9+85+6.35+60</f>
        <v>179.25</v>
      </c>
      <c r="E14" s="1" t="s">
        <v>6</v>
      </c>
      <c r="F14" s="1">
        <v>5868.53</v>
      </c>
      <c r="G14" s="3">
        <f>D14*F14</f>
        <v>1051934.0024999999</v>
      </c>
    </row>
    <row r="15" spans="2:7" ht="90">
      <c r="B15" s="1"/>
      <c r="C15" s="2" t="s">
        <v>28</v>
      </c>
      <c r="D15" s="3">
        <f>6.34+17.75+8</f>
        <v>32.090000000000003</v>
      </c>
      <c r="E15" s="1" t="s">
        <v>29</v>
      </c>
      <c r="F15" s="1">
        <v>75718.77</v>
      </c>
      <c r="G15" s="3">
        <f>D15*F15</f>
        <v>2429815.3293000003</v>
      </c>
    </row>
    <row r="16" spans="2:7">
      <c r="B16" s="6"/>
      <c r="C16" s="5" t="s">
        <v>26</v>
      </c>
      <c r="D16" s="3"/>
      <c r="E16" s="1"/>
      <c r="F16" s="1"/>
      <c r="G16" s="3"/>
    </row>
    <row r="17" spans="2:10" ht="75">
      <c r="B17" s="6">
        <v>5</v>
      </c>
      <c r="C17" s="2" t="s">
        <v>13</v>
      </c>
      <c r="D17" s="1"/>
      <c r="E17" s="1"/>
      <c r="F17" s="1"/>
      <c r="G17" s="1"/>
    </row>
    <row r="18" spans="2:10" ht="30">
      <c r="B18" s="1"/>
      <c r="C18" s="2" t="s">
        <v>11</v>
      </c>
      <c r="D18" s="3">
        <v>1280</v>
      </c>
      <c r="E18" s="1" t="s">
        <v>6</v>
      </c>
      <c r="F18" s="1">
        <v>112.79</v>
      </c>
      <c r="G18" s="3">
        <f>D18*F18</f>
        <v>144371.20000000001</v>
      </c>
    </row>
    <row r="19" spans="2:10">
      <c r="C19" s="14"/>
      <c r="D19" s="15"/>
      <c r="E19" s="1"/>
      <c r="F19" s="1"/>
      <c r="G19" s="3"/>
    </row>
    <row r="20" spans="2:10">
      <c r="E20" s="13">
        <f>G20/G21</f>
        <v>2.8371018738687056E-3</v>
      </c>
      <c r="F20" s="9"/>
      <c r="G20" s="8">
        <f>SUM(G4:G19)</f>
        <v>19780557.974800002</v>
      </c>
    </row>
    <row r="21" spans="2:10">
      <c r="E21" s="5">
        <v>100</v>
      </c>
      <c r="F21" s="5"/>
      <c r="G21" s="10">
        <v>6972100000</v>
      </c>
    </row>
    <row r="31" spans="2:10">
      <c r="J31">
        <f>60*4.5*35</f>
        <v>9450</v>
      </c>
    </row>
  </sheetData>
  <mergeCells count="1">
    <mergeCell ref="B2:G2"/>
  </mergeCells>
  <printOptions horizontalCentered="1"/>
  <pageMargins left="0.70866141732283472" right="0.70866141732283472" top="0.74803149606299213" bottom="0.74803149606299213" header="0.31496062992125984" footer="0.31496062992125984"/>
  <pageSetup paperSize="9" scale="79" orientation="portrait" r:id="rId1"/>
</worksheet>
</file>

<file path=xl/worksheets/sheet9.xml><?xml version="1.0" encoding="utf-8"?>
<worksheet xmlns="http://schemas.openxmlformats.org/spreadsheetml/2006/main" xmlns:r="http://schemas.openxmlformats.org/officeDocument/2006/relationships">
  <sheetPr>
    <pageSetUpPr fitToPage="1"/>
  </sheetPr>
  <dimension ref="B2:J32"/>
  <sheetViews>
    <sheetView view="pageBreakPreview" topLeftCell="A12" zoomScaleSheetLayoutView="100" workbookViewId="0">
      <selection sqref="A1:A1048576"/>
    </sheetView>
  </sheetViews>
  <sheetFormatPr defaultRowHeight="15"/>
  <cols>
    <col min="3" max="3" width="30.7109375" customWidth="1"/>
    <col min="4" max="4" width="10" bestFit="1" customWidth="1"/>
    <col min="6" max="6" width="10" bestFit="1" customWidth="1"/>
    <col min="7" max="7" width="16.7109375" bestFit="1" customWidth="1"/>
  </cols>
  <sheetData>
    <row r="2" spans="2:7">
      <c r="B2" s="377" t="s">
        <v>30</v>
      </c>
      <c r="C2" s="377"/>
      <c r="D2" s="377"/>
      <c r="E2" s="377"/>
      <c r="F2" s="377"/>
      <c r="G2" s="377"/>
    </row>
    <row r="3" spans="2:7">
      <c r="B3" s="7" t="s">
        <v>14</v>
      </c>
      <c r="C3" s="7" t="s">
        <v>12</v>
      </c>
      <c r="D3" s="7" t="s">
        <v>1</v>
      </c>
      <c r="E3" s="7" t="s">
        <v>2</v>
      </c>
      <c r="F3" s="7" t="s">
        <v>16</v>
      </c>
      <c r="G3" s="7" t="s">
        <v>3</v>
      </c>
    </row>
    <row r="4" spans="2:7" ht="45">
      <c r="B4" s="6">
        <v>1</v>
      </c>
      <c r="C4" s="2" t="s">
        <v>0</v>
      </c>
      <c r="D4" s="1">
        <f>52.5+6.13+30.28+2.94+1.26+3.78+3.26+1.48</f>
        <v>101.63000000000001</v>
      </c>
      <c r="E4" s="1" t="s">
        <v>4</v>
      </c>
      <c r="F4" s="11">
        <v>30811.3</v>
      </c>
      <c r="G4" s="3">
        <f>D4*F4</f>
        <v>3131352.4190000002</v>
      </c>
    </row>
    <row r="5" spans="2:7" ht="180">
      <c r="B5" s="6">
        <v>2</v>
      </c>
      <c r="C5" s="2" t="s">
        <v>7</v>
      </c>
      <c r="D5" s="1"/>
      <c r="E5" s="1"/>
      <c r="F5" s="1"/>
      <c r="G5" s="3"/>
    </row>
    <row r="6" spans="2:7">
      <c r="B6" s="6"/>
      <c r="C6" s="1" t="s">
        <v>5</v>
      </c>
      <c r="D6" s="3">
        <f>3885+1225+600+7917+10512+9445+14016+11518+10045+12500</f>
        <v>81663</v>
      </c>
      <c r="E6" s="1" t="s">
        <v>6</v>
      </c>
      <c r="F6" s="1">
        <v>90.23</v>
      </c>
      <c r="G6" s="3">
        <f>D6*F6</f>
        <v>7368452.4900000002</v>
      </c>
    </row>
    <row r="7" spans="2:7" ht="178.5" customHeight="1">
      <c r="B7" s="6"/>
      <c r="C7" s="2" t="s">
        <v>31</v>
      </c>
      <c r="D7" s="3">
        <f>15*40*5</f>
        <v>3000</v>
      </c>
      <c r="E7" s="1" t="s">
        <v>6</v>
      </c>
      <c r="F7" s="1">
        <v>308.11</v>
      </c>
      <c r="G7" s="3">
        <f>D7*F7</f>
        <v>924330</v>
      </c>
    </row>
    <row r="8" spans="2:7" ht="60">
      <c r="B8" s="6">
        <v>3</v>
      </c>
      <c r="C8" s="2" t="s">
        <v>9</v>
      </c>
      <c r="D8" s="3"/>
      <c r="E8" s="1"/>
      <c r="F8" s="1"/>
      <c r="G8" s="3"/>
    </row>
    <row r="9" spans="2:7" ht="42.75" customHeight="1">
      <c r="B9" s="6"/>
      <c r="C9" s="4" t="s">
        <v>8</v>
      </c>
      <c r="D9" s="3"/>
      <c r="E9" s="1" t="s">
        <v>6</v>
      </c>
      <c r="F9" s="1"/>
      <c r="G9" s="3"/>
    </row>
    <row r="10" spans="2:7">
      <c r="B10" s="6"/>
      <c r="C10" s="1" t="s">
        <v>10</v>
      </c>
      <c r="D10" s="3">
        <f>3885+1150+600+7143+9574+11077+12602+9981+10000+12000</f>
        <v>78012</v>
      </c>
      <c r="E10" s="1" t="s">
        <v>6</v>
      </c>
      <c r="F10" s="1">
        <v>96.91</v>
      </c>
      <c r="G10" s="3">
        <f>D10*F10</f>
        <v>7560142.9199999999</v>
      </c>
    </row>
    <row r="11" spans="2:7">
      <c r="B11" s="6"/>
      <c r="C11" s="5" t="s">
        <v>22</v>
      </c>
      <c r="D11" s="3"/>
      <c r="E11" s="1"/>
      <c r="F11" s="1"/>
      <c r="G11" s="3"/>
    </row>
    <row r="12" spans="2:7" ht="75">
      <c r="B12" s="6">
        <v>4</v>
      </c>
      <c r="C12" s="2" t="s">
        <v>13</v>
      </c>
      <c r="D12" s="1"/>
      <c r="E12" s="1"/>
      <c r="F12" s="1"/>
      <c r="G12" s="1"/>
    </row>
    <row r="13" spans="2:7" ht="30">
      <c r="B13" s="1"/>
      <c r="C13" s="2" t="s">
        <v>11</v>
      </c>
      <c r="D13" s="3">
        <f>100+176+157+83.15</f>
        <v>516.15</v>
      </c>
      <c r="E13" s="1" t="s">
        <v>6</v>
      </c>
      <c r="F13" s="1">
        <v>96.91</v>
      </c>
      <c r="G13" s="3">
        <f>D13*F13</f>
        <v>50020.0965</v>
      </c>
    </row>
    <row r="14" spans="2:7" ht="90">
      <c r="B14" s="1"/>
      <c r="C14" s="2" t="s">
        <v>23</v>
      </c>
      <c r="D14" s="3">
        <f>30.11+32+11.14+36.2</f>
        <v>109.45</v>
      </c>
      <c r="E14" s="1" t="s">
        <v>6</v>
      </c>
      <c r="F14" s="1">
        <v>4576.99</v>
      </c>
      <c r="G14" s="3">
        <f>D14*F14</f>
        <v>500951.55550000002</v>
      </c>
    </row>
    <row r="15" spans="2:7" ht="90">
      <c r="B15" s="1"/>
      <c r="C15" s="2" t="s">
        <v>25</v>
      </c>
      <c r="D15" s="3">
        <f>27.9+85+6.35+60+123.47</f>
        <v>302.72000000000003</v>
      </c>
      <c r="E15" s="1" t="s">
        <v>6</v>
      </c>
      <c r="F15" s="1">
        <v>5868.53</v>
      </c>
      <c r="G15" s="3">
        <f>D15*F15</f>
        <v>1776521.4016</v>
      </c>
    </row>
    <row r="16" spans="2:7" ht="90">
      <c r="B16" s="1"/>
      <c r="C16" s="2" t="s">
        <v>28</v>
      </c>
      <c r="D16" s="3">
        <f>15.34+17.75+8+18.7</f>
        <v>59.790000000000006</v>
      </c>
      <c r="E16" s="1" t="s">
        <v>29</v>
      </c>
      <c r="F16" s="1">
        <v>75718.77</v>
      </c>
      <c r="G16" s="3">
        <f>D16*F16</f>
        <v>4527225.2583000008</v>
      </c>
    </row>
    <row r="17" spans="2:10">
      <c r="B17" s="6"/>
      <c r="C17" s="5" t="s">
        <v>26</v>
      </c>
      <c r="D17" s="3"/>
      <c r="E17" s="1"/>
      <c r="F17" s="1"/>
      <c r="G17" s="3"/>
    </row>
    <row r="18" spans="2:10" ht="75">
      <c r="B18" s="6">
        <v>5</v>
      </c>
      <c r="C18" s="2" t="s">
        <v>13</v>
      </c>
      <c r="D18" s="1"/>
      <c r="E18" s="1"/>
      <c r="F18" s="1"/>
      <c r="G18" s="1"/>
    </row>
    <row r="19" spans="2:10" ht="30">
      <c r="B19" s="1"/>
      <c r="C19" s="2" t="s">
        <v>11</v>
      </c>
      <c r="D19" s="3">
        <v>1280</v>
      </c>
      <c r="E19" s="1" t="s">
        <v>6</v>
      </c>
      <c r="F19" s="1">
        <v>112.79</v>
      </c>
      <c r="G19" s="3">
        <f>D19*F19</f>
        <v>144371.20000000001</v>
      </c>
    </row>
    <row r="20" spans="2:10">
      <c r="C20" s="14"/>
      <c r="D20" s="15"/>
      <c r="E20" s="1"/>
      <c r="F20" s="1"/>
      <c r="G20" s="3"/>
    </row>
    <row r="21" spans="2:10">
      <c r="E21" s="13">
        <f>G21/G22</f>
        <v>3.7267634343884914E-3</v>
      </c>
      <c r="F21" s="9"/>
      <c r="G21" s="8">
        <f>SUM(G4:G20)</f>
        <v>25983367.3409</v>
      </c>
    </row>
    <row r="22" spans="2:10">
      <c r="E22" s="5">
        <v>100</v>
      </c>
      <c r="F22" s="5"/>
      <c r="G22" s="10">
        <v>6972100000</v>
      </c>
    </row>
    <row r="32" spans="2:10">
      <c r="J32">
        <f>60*4.5*35</f>
        <v>9450</v>
      </c>
    </row>
  </sheetData>
  <mergeCells count="1">
    <mergeCell ref="B2:G2"/>
  </mergeCells>
  <printOptions horizontalCentered="1"/>
  <pageMargins left="0" right="0" top="0" bottom="0" header="0" footer="0"/>
  <pageSetup paperSize="9" scale="73" orientation="portrait" r:id="rId1"/>
</worksheet>
</file>

<file path=xl/worksheets/sheet10.xml><?xml version="1.0" encoding="utf-8"?>
<worksheet xmlns="http://schemas.openxmlformats.org/spreadsheetml/2006/main" xmlns:r="http://schemas.openxmlformats.org/officeDocument/2006/relationships">
  <sheetPr>
    <pageSetUpPr fitToPage="1"/>
  </sheetPr>
  <dimension ref="B2:P34"/>
  <sheetViews>
    <sheetView topLeftCell="A17" zoomScaleSheetLayoutView="100" workbookViewId="0">
      <selection sqref="A1:A1048576"/>
    </sheetView>
  </sheetViews>
  <sheetFormatPr defaultRowHeight="15"/>
  <cols>
    <col min="3" max="3" width="30.7109375" customWidth="1"/>
    <col min="4" max="4" width="10" bestFit="1" customWidth="1"/>
    <col min="6" max="6" width="10" bestFit="1" customWidth="1"/>
    <col min="7" max="7" width="16.7109375" bestFit="1" customWidth="1"/>
  </cols>
  <sheetData>
    <row r="2" spans="2:16">
      <c r="B2" s="377" t="s">
        <v>32</v>
      </c>
      <c r="C2" s="377"/>
      <c r="D2" s="377"/>
      <c r="E2" s="377"/>
      <c r="F2" s="377"/>
      <c r="G2" s="377"/>
    </row>
    <row r="3" spans="2:16">
      <c r="B3" s="7" t="s">
        <v>14</v>
      </c>
      <c r="C3" s="7" t="s">
        <v>12</v>
      </c>
      <c r="D3" s="7" t="s">
        <v>1</v>
      </c>
      <c r="E3" s="7" t="s">
        <v>2</v>
      </c>
      <c r="F3" s="7" t="s">
        <v>16</v>
      </c>
      <c r="G3" s="7" t="s">
        <v>3</v>
      </c>
    </row>
    <row r="4" spans="2:16" ht="45">
      <c r="B4" s="6">
        <v>1</v>
      </c>
      <c r="C4" s="2" t="s">
        <v>0</v>
      </c>
      <c r="D4" s="1">
        <f>52.5+6.13+30.28+2.94+1.26+3.78+3.26+1.48</f>
        <v>101.63000000000001</v>
      </c>
      <c r="E4" s="1" t="s">
        <v>4</v>
      </c>
      <c r="F4" s="11">
        <v>30811.3</v>
      </c>
      <c r="G4" s="3">
        <f>D4*F4</f>
        <v>3131352.4190000002</v>
      </c>
    </row>
    <row r="5" spans="2:16" ht="180">
      <c r="B5" s="6">
        <v>2</v>
      </c>
      <c r="C5" s="2" t="s">
        <v>7</v>
      </c>
      <c r="D5" s="1"/>
      <c r="E5" s="1"/>
      <c r="F5" s="1"/>
      <c r="G5" s="3"/>
    </row>
    <row r="6" spans="2:16">
      <c r="B6" s="6"/>
      <c r="C6" s="1" t="s">
        <v>5</v>
      </c>
      <c r="D6" s="3">
        <f>3885+1225+600+7917+10512+9445+14016+11518+10045+12500+13003+4500</f>
        <v>99166</v>
      </c>
      <c r="E6" s="1" t="s">
        <v>6</v>
      </c>
      <c r="F6" s="1">
        <v>90.23</v>
      </c>
      <c r="G6" s="3">
        <f>D6*F6</f>
        <v>8947748.1799999997</v>
      </c>
    </row>
    <row r="7" spans="2:16" ht="178.5" customHeight="1">
      <c r="B7" s="6"/>
      <c r="C7" s="2" t="s">
        <v>31</v>
      </c>
      <c r="D7" s="3">
        <f>15*40*5+250</f>
        <v>3250</v>
      </c>
      <c r="E7" s="1" t="s">
        <v>6</v>
      </c>
      <c r="F7" s="1">
        <v>308.11</v>
      </c>
      <c r="G7" s="3">
        <f>D7*F7</f>
        <v>1001357.5</v>
      </c>
    </row>
    <row r="8" spans="2:16" ht="60">
      <c r="B8" s="6">
        <v>3</v>
      </c>
      <c r="C8" s="2" t="s">
        <v>9</v>
      </c>
      <c r="D8" s="3"/>
      <c r="E8" s="1"/>
      <c r="F8" s="1"/>
      <c r="G8" s="3"/>
    </row>
    <row r="9" spans="2:16" ht="42.75" customHeight="1">
      <c r="B9" s="6"/>
      <c r="C9" s="4" t="s">
        <v>8</v>
      </c>
      <c r="D9" s="3"/>
      <c r="E9" s="1" t="s">
        <v>6</v>
      </c>
      <c r="F9" s="1"/>
      <c r="G9" s="3"/>
    </row>
    <row r="10" spans="2:16">
      <c r="B10" s="6"/>
      <c r="C10" s="1" t="s">
        <v>10</v>
      </c>
      <c r="D10" s="3">
        <f>3885+1150+600+7143+9574+11077+12602+9981+10000+12000+14196+5500</f>
        <v>97708</v>
      </c>
      <c r="E10" s="1" t="s">
        <v>6</v>
      </c>
      <c r="F10" s="1">
        <v>96.91</v>
      </c>
      <c r="G10" s="3">
        <f>D10*F10</f>
        <v>9468882.2799999993</v>
      </c>
    </row>
    <row r="11" spans="2:16">
      <c r="B11" s="6"/>
      <c r="C11" s="5" t="s">
        <v>22</v>
      </c>
      <c r="D11" s="3"/>
      <c r="E11" s="1"/>
      <c r="F11" s="1"/>
      <c r="G11" s="3"/>
    </row>
    <row r="12" spans="2:16" ht="75">
      <c r="B12" s="6">
        <v>4</v>
      </c>
      <c r="C12" s="2" t="s">
        <v>13</v>
      </c>
      <c r="D12" s="1"/>
      <c r="E12" s="1"/>
      <c r="F12" s="1"/>
      <c r="G12" s="1"/>
    </row>
    <row r="13" spans="2:16" ht="30">
      <c r="B13" s="1"/>
      <c r="C13" s="2" t="s">
        <v>11</v>
      </c>
      <c r="D13" s="3">
        <f>100+176+157+83.15+403</f>
        <v>919.15</v>
      </c>
      <c r="E13" s="1" t="s">
        <v>6</v>
      </c>
      <c r="F13" s="1">
        <v>96.91</v>
      </c>
      <c r="G13" s="3">
        <f>D13*F13</f>
        <v>89074.826499999996</v>
      </c>
    </row>
    <row r="14" spans="2:16" ht="90">
      <c r="B14" s="1"/>
      <c r="C14" s="2" t="s">
        <v>23</v>
      </c>
      <c r="D14" s="3">
        <f>30.11+32+11.14+36.2+41.16+25</f>
        <v>175.61</v>
      </c>
      <c r="E14" s="1" t="s">
        <v>6</v>
      </c>
      <c r="F14" s="1">
        <v>4576.99</v>
      </c>
      <c r="G14" s="3">
        <f>D14*F14</f>
        <v>803765.21389999997</v>
      </c>
    </row>
    <row r="15" spans="2:16" ht="90">
      <c r="B15" s="1"/>
      <c r="C15" s="2" t="s">
        <v>25</v>
      </c>
      <c r="D15" s="3">
        <f>27.9+85+6.35+60+123.47+56.544</f>
        <v>359.26400000000001</v>
      </c>
      <c r="E15" s="1" t="s">
        <v>6</v>
      </c>
      <c r="F15" s="1">
        <v>5868.53</v>
      </c>
      <c r="G15" s="3">
        <f>D15*F15</f>
        <v>2108351.5619199998</v>
      </c>
      <c r="M15">
        <v>53</v>
      </c>
      <c r="N15" t="s">
        <v>35</v>
      </c>
      <c r="O15">
        <v>27</v>
      </c>
      <c r="P15" t="s">
        <v>36</v>
      </c>
    </row>
    <row r="16" spans="2:16" ht="90">
      <c r="B16" s="1"/>
      <c r="C16" s="2" t="s">
        <v>28</v>
      </c>
      <c r="D16" s="3">
        <f>15.34+17.75+8+18.7+6+12+12</f>
        <v>89.79</v>
      </c>
      <c r="E16" s="1" t="s">
        <v>29</v>
      </c>
      <c r="F16" s="1">
        <v>75718.77</v>
      </c>
      <c r="G16" s="3">
        <f>D16*F16</f>
        <v>6798788.3583000004</v>
      </c>
    </row>
    <row r="17" spans="2:7" ht="90">
      <c r="B17" s="1"/>
      <c r="C17" s="2" t="s">
        <v>33</v>
      </c>
      <c r="D17" s="3"/>
      <c r="E17" s="1"/>
      <c r="F17" s="1"/>
      <c r="G17" s="3"/>
    </row>
    <row r="18" spans="2:7">
      <c r="B18" s="1"/>
      <c r="C18" s="2" t="s">
        <v>34</v>
      </c>
      <c r="D18" s="3">
        <v>42.33</v>
      </c>
      <c r="E18" s="1" t="s">
        <v>6</v>
      </c>
      <c r="F18" s="1">
        <v>6468</v>
      </c>
      <c r="G18" s="3">
        <f>D18*F18</f>
        <v>273790.44</v>
      </c>
    </row>
    <row r="19" spans="2:7">
      <c r="B19" s="6"/>
      <c r="C19" s="5" t="s">
        <v>26</v>
      </c>
      <c r="D19" s="3"/>
      <c r="E19" s="1"/>
      <c r="F19" s="1"/>
      <c r="G19" s="3"/>
    </row>
    <row r="20" spans="2:7" ht="75">
      <c r="B20" s="6">
        <v>5</v>
      </c>
      <c r="C20" s="2" t="s">
        <v>13</v>
      </c>
      <c r="D20" s="1"/>
      <c r="E20" s="1"/>
      <c r="F20" s="1"/>
      <c r="G20" s="1"/>
    </row>
    <row r="21" spans="2:7" ht="30">
      <c r="B21" s="1"/>
      <c r="C21" s="2" t="s">
        <v>11</v>
      </c>
      <c r="D21" s="3">
        <v>1280</v>
      </c>
      <c r="E21" s="1" t="s">
        <v>6</v>
      </c>
      <c r="F21" s="1">
        <v>112.79</v>
      </c>
      <c r="G21" s="3">
        <f>D21*F21</f>
        <v>144371.20000000001</v>
      </c>
    </row>
    <row r="22" spans="2:7">
      <c r="C22" s="14"/>
      <c r="D22" s="15"/>
      <c r="E22" s="1"/>
      <c r="F22" s="1"/>
      <c r="G22" s="3"/>
    </row>
    <row r="23" spans="2:7">
      <c r="E23" s="13">
        <f>G23/G24</f>
        <v>4.6998009178898749E-3</v>
      </c>
      <c r="F23" s="9"/>
      <c r="G23" s="8">
        <f>SUM(G4:G22)</f>
        <v>32767481.979619998</v>
      </c>
    </row>
    <row r="24" spans="2:7">
      <c r="E24" s="5">
        <v>100</v>
      </c>
      <c r="F24" s="5"/>
      <c r="G24" s="10">
        <v>6972100000</v>
      </c>
    </row>
    <row r="34" spans="10:10">
      <c r="J34">
        <f>60*4.5*35</f>
        <v>9450</v>
      </c>
    </row>
  </sheetData>
  <mergeCells count="1">
    <mergeCell ref="B2:G2"/>
  </mergeCells>
  <printOptions horizontalCentered="1"/>
  <pageMargins left="0" right="0" top="0" bottom="0" header="0" footer="0"/>
  <pageSetup paperSize="9" scale="67" orientation="portrait" r:id="rId1"/>
</worksheet>
</file>

<file path=xl/worksheets/sheet11.xml><?xml version="1.0" encoding="utf-8"?>
<worksheet xmlns="http://schemas.openxmlformats.org/spreadsheetml/2006/main" xmlns:r="http://schemas.openxmlformats.org/officeDocument/2006/relationships">
  <sheetPr>
    <pageSetUpPr fitToPage="1"/>
  </sheetPr>
  <dimension ref="B3:P37"/>
  <sheetViews>
    <sheetView view="pageBreakPreview" topLeftCell="A19" zoomScaleSheetLayoutView="100" workbookViewId="0">
      <selection sqref="A1:A1048576"/>
    </sheetView>
  </sheetViews>
  <sheetFormatPr defaultRowHeight="15"/>
  <cols>
    <col min="3" max="3" width="30.7109375" customWidth="1"/>
    <col min="4" max="4" width="10" bestFit="1" customWidth="1"/>
    <col min="6" max="6" width="10" bestFit="1" customWidth="1"/>
    <col min="7" max="7" width="16.7109375" bestFit="1" customWidth="1"/>
  </cols>
  <sheetData>
    <row r="3" spans="2:12">
      <c r="B3" s="377" t="s">
        <v>37</v>
      </c>
      <c r="C3" s="377"/>
      <c r="D3" s="377"/>
      <c r="E3" s="377"/>
      <c r="F3" s="377"/>
      <c r="G3" s="377"/>
    </row>
    <row r="4" spans="2:12">
      <c r="B4" s="7" t="s">
        <v>14</v>
      </c>
      <c r="C4" s="7" t="s">
        <v>12</v>
      </c>
      <c r="D4" s="7" t="s">
        <v>1</v>
      </c>
      <c r="E4" s="7" t="s">
        <v>2</v>
      </c>
      <c r="F4" s="7" t="s">
        <v>16</v>
      </c>
      <c r="G4" s="7" t="s">
        <v>3</v>
      </c>
    </row>
    <row r="5" spans="2:12" ht="45">
      <c r="B5" s="6">
        <v>1</v>
      </c>
      <c r="C5" s="2" t="s">
        <v>0</v>
      </c>
      <c r="D5" s="1">
        <f>52.5+6.13+30.28+2.94+1.26+3.78+3.26+1.48+7.21</f>
        <v>108.84</v>
      </c>
      <c r="E5" s="1" t="s">
        <v>4</v>
      </c>
      <c r="F5" s="11">
        <v>30811.3</v>
      </c>
      <c r="G5" s="3">
        <f>D5*F5</f>
        <v>3353501.892</v>
      </c>
    </row>
    <row r="6" spans="2:12" ht="180">
      <c r="B6" s="6">
        <v>2</v>
      </c>
      <c r="C6" s="2" t="s">
        <v>7</v>
      </c>
      <c r="D6" s="1"/>
      <c r="E6" s="1"/>
      <c r="F6" s="1"/>
      <c r="G6" s="3"/>
    </row>
    <row r="7" spans="2:12">
      <c r="B7" s="6"/>
      <c r="C7" s="1" t="s">
        <v>5</v>
      </c>
      <c r="D7" s="3">
        <f>3885+1225+600+7917+10512+9445+14016+11518+10045+12500+13003+4500+10936</f>
        <v>110102</v>
      </c>
      <c r="E7" s="1" t="s">
        <v>6</v>
      </c>
      <c r="F7" s="1">
        <v>90.23</v>
      </c>
      <c r="G7" s="3">
        <f>D7*F7</f>
        <v>9934503.4600000009</v>
      </c>
      <c r="K7">
        <f>10186+750</f>
        <v>10936</v>
      </c>
    </row>
    <row r="8" spans="2:12" ht="178.5" customHeight="1">
      <c r="B8" s="6"/>
      <c r="C8" s="2" t="s">
        <v>31</v>
      </c>
      <c r="D8" s="3">
        <f>3000+250+525</f>
        <v>3775</v>
      </c>
      <c r="E8" s="1" t="s">
        <v>6</v>
      </c>
      <c r="F8" s="1">
        <v>308.11</v>
      </c>
      <c r="G8" s="3">
        <f>D8*F8</f>
        <v>1163115.25</v>
      </c>
      <c r="K8">
        <f>15826+765+662</f>
        <v>17253</v>
      </c>
    </row>
    <row r="9" spans="2:12" ht="60">
      <c r="B9" s="6">
        <v>3</v>
      </c>
      <c r="C9" s="2" t="s">
        <v>9</v>
      </c>
      <c r="D9" s="3"/>
      <c r="E9" s="1"/>
      <c r="F9" s="1"/>
      <c r="G9" s="3"/>
      <c r="K9">
        <v>17533</v>
      </c>
      <c r="L9">
        <f>K9-8240</f>
        <v>9293</v>
      </c>
    </row>
    <row r="10" spans="2:12" ht="42.75" customHeight="1">
      <c r="B10" s="6"/>
      <c r="C10" s="4" t="s">
        <v>8</v>
      </c>
      <c r="D10" s="3"/>
      <c r="E10" s="1" t="s">
        <v>6</v>
      </c>
      <c r="F10" s="1"/>
      <c r="G10" s="3"/>
    </row>
    <row r="11" spans="2:12">
      <c r="B11" s="6"/>
      <c r="C11" s="1" t="s">
        <v>10</v>
      </c>
      <c r="D11" s="3">
        <f>3885+1150+600+7143+9574+11077+12602+9981+10000+12000+14196+5500+9293</f>
        <v>107001</v>
      </c>
      <c r="E11" s="1" t="s">
        <v>6</v>
      </c>
      <c r="F11" s="1">
        <v>96.91</v>
      </c>
      <c r="G11" s="3">
        <f>D11*F11</f>
        <v>10369466.91</v>
      </c>
    </row>
    <row r="12" spans="2:12">
      <c r="B12" s="6"/>
      <c r="C12" s="1" t="s">
        <v>38</v>
      </c>
      <c r="D12" s="3">
        <v>10240</v>
      </c>
      <c r="E12" s="1" t="s">
        <v>6</v>
      </c>
      <c r="F12" s="1">
        <v>249.23</v>
      </c>
      <c r="G12" s="3">
        <f>D12*F12</f>
        <v>2552115.1999999997</v>
      </c>
    </row>
    <row r="13" spans="2:12">
      <c r="B13" s="6"/>
      <c r="C13" s="5" t="s">
        <v>22</v>
      </c>
      <c r="D13" s="3"/>
      <c r="E13" s="1"/>
      <c r="F13" s="1"/>
      <c r="G13" s="3"/>
    </row>
    <row r="14" spans="2:12" ht="75">
      <c r="B14" s="6">
        <v>4</v>
      </c>
      <c r="C14" s="2" t="s">
        <v>13</v>
      </c>
      <c r="D14" s="1"/>
      <c r="E14" s="1"/>
      <c r="F14" s="1"/>
      <c r="G14" s="1"/>
    </row>
    <row r="15" spans="2:12" ht="30">
      <c r="B15" s="1"/>
      <c r="C15" s="2" t="s">
        <v>11</v>
      </c>
      <c r="D15" s="3">
        <f>100+176+157+83.15+403+596</f>
        <v>1515.15</v>
      </c>
      <c r="E15" s="1" t="s">
        <v>6</v>
      </c>
      <c r="F15" s="1">
        <v>96.91</v>
      </c>
      <c r="G15" s="3">
        <f>D15*F15</f>
        <v>146833.18650000001</v>
      </c>
    </row>
    <row r="16" spans="2:12" ht="90">
      <c r="B16" s="1"/>
      <c r="C16" s="2" t="s">
        <v>23</v>
      </c>
      <c r="D16" s="3">
        <f>30.11+32+11.14+36.2+41.16+25+44.33</f>
        <v>219.94</v>
      </c>
      <c r="E16" s="1" t="s">
        <v>6</v>
      </c>
      <c r="F16" s="1">
        <v>4576.99</v>
      </c>
      <c r="G16" s="3">
        <f>D16*F16</f>
        <v>1006663.1806</v>
      </c>
    </row>
    <row r="17" spans="2:16" ht="90">
      <c r="B17" s="1"/>
      <c r="C17" s="2" t="s">
        <v>25</v>
      </c>
      <c r="D17" s="3">
        <f>27.9+85+6.35+60+123.47+56.544+155.08</f>
        <v>514.34400000000005</v>
      </c>
      <c r="E17" s="1" t="s">
        <v>6</v>
      </c>
      <c r="F17" s="1">
        <v>5868.53</v>
      </c>
      <c r="G17" s="3">
        <f>D17*F17</f>
        <v>3018443.1943200002</v>
      </c>
      <c r="M17">
        <v>53</v>
      </c>
      <c r="N17" t="s">
        <v>35</v>
      </c>
      <c r="O17">
        <v>27</v>
      </c>
      <c r="P17" t="s">
        <v>36</v>
      </c>
    </row>
    <row r="18" spans="2:16" ht="90">
      <c r="B18" s="1"/>
      <c r="C18" s="2" t="s">
        <v>28</v>
      </c>
      <c r="D18" s="3">
        <f>15.34+17.75+8+18.7+6+12+12+23.5</f>
        <v>113.29</v>
      </c>
      <c r="E18" s="1" t="s">
        <v>29</v>
      </c>
      <c r="F18" s="1">
        <v>75718.77</v>
      </c>
      <c r="G18" s="3">
        <f>D18*F18</f>
        <v>8578179.4533000011</v>
      </c>
    </row>
    <row r="19" spans="2:16" ht="90">
      <c r="B19" s="1"/>
      <c r="C19" s="2" t="s">
        <v>33</v>
      </c>
      <c r="D19" s="3"/>
      <c r="E19" s="1"/>
      <c r="F19" s="1"/>
      <c r="G19" s="3"/>
    </row>
    <row r="20" spans="2:16">
      <c r="B20" s="1"/>
      <c r="C20" s="2" t="s">
        <v>34</v>
      </c>
      <c r="D20" s="3">
        <v>42.33</v>
      </c>
      <c r="E20" s="1" t="s">
        <v>6</v>
      </c>
      <c r="F20" s="1">
        <v>6468</v>
      </c>
      <c r="G20" s="3">
        <f>D20*F20</f>
        <v>273790.44</v>
      </c>
    </row>
    <row r="21" spans="2:16">
      <c r="B21" s="6"/>
      <c r="C21" s="5" t="s">
        <v>26</v>
      </c>
      <c r="D21" s="3"/>
      <c r="E21" s="1"/>
      <c r="F21" s="1"/>
      <c r="G21" s="3"/>
    </row>
    <row r="22" spans="2:16" ht="75">
      <c r="B22" s="6">
        <v>5</v>
      </c>
      <c r="C22" s="2" t="s">
        <v>13</v>
      </c>
      <c r="D22" s="1"/>
      <c r="E22" s="1"/>
      <c r="F22" s="1"/>
      <c r="G22" s="1"/>
    </row>
    <row r="23" spans="2:16" ht="30">
      <c r="B23" s="1"/>
      <c r="C23" s="2" t="s">
        <v>11</v>
      </c>
      <c r="D23" s="3">
        <v>1280</v>
      </c>
      <c r="E23" s="1" t="s">
        <v>6</v>
      </c>
      <c r="F23" s="1">
        <v>112.79</v>
      </c>
      <c r="G23" s="3">
        <f>D23*F23</f>
        <v>144371.20000000001</v>
      </c>
    </row>
    <row r="24" spans="2:16" ht="90">
      <c r="B24" s="1"/>
      <c r="C24" s="2" t="s">
        <v>23</v>
      </c>
      <c r="D24" s="3">
        <v>41.8</v>
      </c>
      <c r="E24" s="1" t="s">
        <v>6</v>
      </c>
      <c r="F24" s="1">
        <v>4576.99</v>
      </c>
      <c r="G24" s="3">
        <f>D24*F24</f>
        <v>191318.18199999997</v>
      </c>
    </row>
    <row r="25" spans="2:16">
      <c r="C25" s="14"/>
      <c r="D25" s="15"/>
      <c r="E25" s="1"/>
      <c r="F25" s="1"/>
      <c r="G25" s="3"/>
    </row>
    <row r="26" spans="2:16">
      <c r="E26" s="13">
        <f>G26/G27</f>
        <v>5.8421855034666743E-3</v>
      </c>
      <c r="F26" s="9"/>
      <c r="G26" s="8">
        <f>SUM(G5:G25)</f>
        <v>40732301.548720002</v>
      </c>
    </row>
    <row r="27" spans="2:16">
      <c r="E27" s="5">
        <v>100</v>
      </c>
      <c r="F27" s="5"/>
      <c r="G27" s="10">
        <v>6972100000</v>
      </c>
    </row>
    <row r="37" spans="10:10">
      <c r="J37">
        <f>60*4.5*35</f>
        <v>9450</v>
      </c>
    </row>
  </sheetData>
  <mergeCells count="1">
    <mergeCell ref="B3:G3"/>
  </mergeCells>
  <printOptions horizontalCentered="1"/>
  <pageMargins left="0" right="0" top="0" bottom="0" header="0" footer="0"/>
  <pageSetup paperSize="9" fitToHeight="0" orientation="portrait" r:id="rId1"/>
</worksheet>
</file>

<file path=xl/worksheets/sheet12.xml><?xml version="1.0" encoding="utf-8"?>
<worksheet xmlns="http://schemas.openxmlformats.org/spreadsheetml/2006/main" xmlns:r="http://schemas.openxmlformats.org/officeDocument/2006/relationships">
  <sheetPr>
    <pageSetUpPr fitToPage="1"/>
  </sheetPr>
  <dimension ref="B3:P37"/>
  <sheetViews>
    <sheetView view="pageBreakPreview" topLeftCell="A22" zoomScaleSheetLayoutView="100" workbookViewId="0">
      <selection sqref="A1:A1048576"/>
    </sheetView>
  </sheetViews>
  <sheetFormatPr defaultRowHeight="15"/>
  <cols>
    <col min="3" max="3" width="30.7109375" customWidth="1"/>
    <col min="4" max="4" width="10" bestFit="1" customWidth="1"/>
    <col min="6" max="6" width="10" bestFit="1" customWidth="1"/>
    <col min="7" max="7" width="16.7109375" bestFit="1" customWidth="1"/>
  </cols>
  <sheetData>
    <row r="3" spans="2:13">
      <c r="B3" s="377" t="s">
        <v>39</v>
      </c>
      <c r="C3" s="377"/>
      <c r="D3" s="377"/>
      <c r="E3" s="377"/>
      <c r="F3" s="377"/>
      <c r="G3" s="377"/>
    </row>
    <row r="4" spans="2:13">
      <c r="B4" s="7" t="s">
        <v>14</v>
      </c>
      <c r="C4" s="7" t="s">
        <v>12</v>
      </c>
      <c r="D4" s="7" t="s">
        <v>1</v>
      </c>
      <c r="E4" s="7" t="s">
        <v>2</v>
      </c>
      <c r="F4" s="7" t="s">
        <v>16</v>
      </c>
      <c r="G4" s="7" t="s">
        <v>3</v>
      </c>
    </row>
    <row r="5" spans="2:13" ht="45">
      <c r="B5" s="6">
        <v>1</v>
      </c>
      <c r="C5" s="2" t="s">
        <v>0</v>
      </c>
      <c r="D5" s="1">
        <f>52.5+6.13+30.28+2.94+1.26+3.78+3.26+1.48+7.21+1.28</f>
        <v>110.12</v>
      </c>
      <c r="E5" s="1" t="s">
        <v>4</v>
      </c>
      <c r="F5" s="11">
        <v>30811.3</v>
      </c>
      <c r="G5" s="3">
        <f>D5*F5</f>
        <v>3392940.3560000001</v>
      </c>
      <c r="I5">
        <f>18600*75</f>
        <v>1395000</v>
      </c>
    </row>
    <row r="6" spans="2:13" ht="180">
      <c r="B6" s="6">
        <v>2</v>
      </c>
      <c r="C6" s="2" t="s">
        <v>7</v>
      </c>
      <c r="D6" s="1"/>
      <c r="E6" s="1"/>
      <c r="F6" s="1"/>
      <c r="G6" s="3"/>
      <c r="I6">
        <f>I5/10000</f>
        <v>139.5</v>
      </c>
    </row>
    <row r="7" spans="2:13">
      <c r="B7" s="6"/>
      <c r="C7" s="1" t="s">
        <v>5</v>
      </c>
      <c r="D7" s="3">
        <f>3885+1225+600+7917+10512+9445+14016+11518+10045+12500+13003+4500+10936</f>
        <v>110102</v>
      </c>
      <c r="E7" s="1" t="s">
        <v>6</v>
      </c>
      <c r="F7" s="1">
        <v>90.23</v>
      </c>
      <c r="G7" s="3">
        <f>D7*F7</f>
        <v>9934503.4600000009</v>
      </c>
      <c r="K7">
        <f>10640+600+700+960+375+240</f>
        <v>13515</v>
      </c>
    </row>
    <row r="8" spans="2:13" ht="178.5" customHeight="1">
      <c r="B8" s="6"/>
      <c r="C8" s="2" t="s">
        <v>31</v>
      </c>
      <c r="D8" s="3">
        <f>3000+250+525+73.5</f>
        <v>3848.5</v>
      </c>
      <c r="E8" s="1" t="s">
        <v>6</v>
      </c>
      <c r="F8" s="1">
        <v>308.11</v>
      </c>
      <c r="G8" s="3">
        <f>D8*F8</f>
        <v>1185761.335</v>
      </c>
      <c r="H8">
        <f>30+40+3.5</f>
        <v>73.5</v>
      </c>
    </row>
    <row r="9" spans="2:13" ht="60">
      <c r="B9" s="6">
        <v>3</v>
      </c>
      <c r="C9" s="2" t="s">
        <v>9</v>
      </c>
      <c r="D9" s="3"/>
      <c r="E9" s="1"/>
      <c r="F9" s="1"/>
      <c r="G9" s="3"/>
      <c r="K9">
        <f>840+663+960+960+1300</f>
        <v>4723</v>
      </c>
      <c r="L9">
        <v>19000</v>
      </c>
    </row>
    <row r="10" spans="2:13" ht="42.75" customHeight="1">
      <c r="B10" s="6"/>
      <c r="C10" s="4" t="s">
        <v>8</v>
      </c>
      <c r="D10" s="3"/>
      <c r="E10" s="1" t="s">
        <v>6</v>
      </c>
      <c r="F10" s="1"/>
      <c r="G10" s="3"/>
    </row>
    <row r="11" spans="2:13">
      <c r="B11" s="6"/>
      <c r="C11" s="1" t="s">
        <v>10</v>
      </c>
      <c r="D11" s="3">
        <f>3885+1150+600+7143+9574+11077+12602+9981+10000+12000+14196+5500+9293+19600</f>
        <v>126601</v>
      </c>
      <c r="E11" s="1" t="s">
        <v>6</v>
      </c>
      <c r="F11" s="1">
        <v>96.91</v>
      </c>
      <c r="G11" s="3">
        <f>D11*F11</f>
        <v>12268902.91</v>
      </c>
      <c r="M11">
        <f>135+130+189</f>
        <v>454</v>
      </c>
    </row>
    <row r="12" spans="2:13">
      <c r="B12" s="6"/>
      <c r="C12" s="1" t="s">
        <v>38</v>
      </c>
      <c r="D12" s="3">
        <f>10240+23723+12000</f>
        <v>45963</v>
      </c>
      <c r="E12" s="1" t="s">
        <v>6</v>
      </c>
      <c r="F12" s="1">
        <v>249.23</v>
      </c>
      <c r="G12" s="3">
        <f>D12*F12</f>
        <v>11455358.49</v>
      </c>
    </row>
    <row r="13" spans="2:13">
      <c r="B13" s="6"/>
      <c r="C13" s="5" t="s">
        <v>22</v>
      </c>
      <c r="D13" s="3"/>
      <c r="E13" s="1"/>
      <c r="F13" s="1"/>
      <c r="G13" s="3"/>
    </row>
    <row r="14" spans="2:13" ht="75">
      <c r="B14" s="6">
        <v>4</v>
      </c>
      <c r="C14" s="2" t="s">
        <v>13</v>
      </c>
      <c r="D14" s="1"/>
      <c r="E14" s="1"/>
      <c r="F14" s="1"/>
      <c r="G14" s="1"/>
    </row>
    <row r="15" spans="2:13" ht="30">
      <c r="B15" s="1"/>
      <c r="C15" s="2" t="s">
        <v>11</v>
      </c>
      <c r="D15" s="3">
        <f>100+176+157+83.15+403+596+120.8</f>
        <v>1635.95</v>
      </c>
      <c r="E15" s="1" t="s">
        <v>6</v>
      </c>
      <c r="F15" s="1">
        <v>96.91</v>
      </c>
      <c r="G15" s="3">
        <f>D15*F15</f>
        <v>158539.91449999998</v>
      </c>
    </row>
    <row r="16" spans="2:13" ht="90">
      <c r="B16" s="1"/>
      <c r="C16" s="2" t="s">
        <v>23</v>
      </c>
      <c r="D16" s="3">
        <f>30.11+32+11.14+36.2+41.16+25+44.33+18.88+65.5</f>
        <v>304.32</v>
      </c>
      <c r="E16" s="1" t="s">
        <v>6</v>
      </c>
      <c r="F16" s="1">
        <v>4576.99</v>
      </c>
      <c r="G16" s="3">
        <f>D16*F16</f>
        <v>1392869.5967999999</v>
      </c>
      <c r="H16">
        <f>18.88+65</f>
        <v>83.88</v>
      </c>
    </row>
    <row r="17" spans="2:16" ht="90">
      <c r="B17" s="1"/>
      <c r="C17" s="2" t="s">
        <v>25</v>
      </c>
      <c r="D17" s="3">
        <f>27.9+85+6.35+60+123.47+56.544+155.08+240.9</f>
        <v>755.24400000000003</v>
      </c>
      <c r="E17" s="1" t="s">
        <v>6</v>
      </c>
      <c r="F17" s="1">
        <v>5868.53</v>
      </c>
      <c r="G17" s="3">
        <f>D17*F17</f>
        <v>4432172.0713200001</v>
      </c>
      <c r="H17">
        <f>174.9+16+50</f>
        <v>240.9</v>
      </c>
      <c r="M17">
        <v>53</v>
      </c>
      <c r="N17" t="s">
        <v>35</v>
      </c>
      <c r="O17">
        <v>27</v>
      </c>
      <c r="P17" t="s">
        <v>36</v>
      </c>
    </row>
    <row r="18" spans="2:16" ht="90">
      <c r="B18" s="1"/>
      <c r="C18" s="2" t="s">
        <v>28</v>
      </c>
      <c r="D18" s="3">
        <f>15.34+17.75+8+18.7+6+12+12+23.5+30</f>
        <v>143.29000000000002</v>
      </c>
      <c r="E18" s="1" t="s">
        <v>29</v>
      </c>
      <c r="F18" s="1">
        <v>75718.77</v>
      </c>
      <c r="G18" s="3">
        <f>D18*F18</f>
        <v>10849742.553300003</v>
      </c>
    </row>
    <row r="19" spans="2:16" ht="90">
      <c r="B19" s="1"/>
      <c r="C19" s="2" t="s">
        <v>33</v>
      </c>
      <c r="D19" s="3"/>
      <c r="E19" s="1"/>
      <c r="F19" s="1"/>
      <c r="G19" s="3"/>
    </row>
    <row r="20" spans="2:16">
      <c r="B20" s="1"/>
      <c r="C20" s="2" t="s">
        <v>34</v>
      </c>
      <c r="D20" s="3">
        <v>42.33</v>
      </c>
      <c r="E20" s="1" t="s">
        <v>6</v>
      </c>
      <c r="F20" s="1">
        <v>6468</v>
      </c>
      <c r="G20" s="3">
        <f>D20*F20</f>
        <v>273790.44</v>
      </c>
    </row>
    <row r="21" spans="2:16">
      <c r="B21" s="6"/>
      <c r="C21" s="5" t="s">
        <v>26</v>
      </c>
      <c r="D21" s="3"/>
      <c r="E21" s="1"/>
      <c r="F21" s="1"/>
      <c r="G21" s="3"/>
    </row>
    <row r="22" spans="2:16" ht="75">
      <c r="B22" s="6">
        <v>5</v>
      </c>
      <c r="C22" s="2" t="s">
        <v>13</v>
      </c>
      <c r="D22" s="1"/>
      <c r="E22" s="1"/>
      <c r="F22" s="1"/>
      <c r="G22" s="1"/>
    </row>
    <row r="23" spans="2:16" ht="30">
      <c r="B23" s="1"/>
      <c r="C23" s="2" t="s">
        <v>11</v>
      </c>
      <c r="D23" s="3">
        <f>1280+414.4</f>
        <v>1694.4</v>
      </c>
      <c r="E23" s="1" t="s">
        <v>6</v>
      </c>
      <c r="F23" s="1">
        <v>112.79</v>
      </c>
      <c r="G23" s="3">
        <f>D23*F23</f>
        <v>191111.37600000002</v>
      </c>
    </row>
    <row r="24" spans="2:16" ht="90">
      <c r="B24" s="1"/>
      <c r="C24" s="2" t="s">
        <v>23</v>
      </c>
      <c r="D24" s="3">
        <v>41.8</v>
      </c>
      <c r="E24" s="1" t="s">
        <v>6</v>
      </c>
      <c r="F24" s="1">
        <v>4576.99</v>
      </c>
      <c r="G24" s="3">
        <f>D24*F24</f>
        <v>191318.18199999997</v>
      </c>
    </row>
    <row r="25" spans="2:16">
      <c r="C25" s="14"/>
      <c r="D25" s="15"/>
      <c r="E25" s="1"/>
      <c r="F25" s="1"/>
      <c r="G25" s="3"/>
    </row>
    <row r="26" spans="2:16">
      <c r="E26" s="13">
        <f>G26/G27</f>
        <v>7.9928587778316414E-3</v>
      </c>
      <c r="F26" s="9"/>
      <c r="G26" s="8">
        <f>SUM(G5:G25)</f>
        <v>55727010.684919991</v>
      </c>
    </row>
    <row r="27" spans="2:16">
      <c r="E27" s="5">
        <v>100</v>
      </c>
      <c r="F27" s="5"/>
      <c r="G27" s="10">
        <v>6972100000</v>
      </c>
    </row>
    <row r="37" spans="10:10">
      <c r="J37">
        <f>60*4.5*35</f>
        <v>9450</v>
      </c>
    </row>
  </sheetData>
  <mergeCells count="1">
    <mergeCell ref="B3:G3"/>
  </mergeCells>
  <printOptions horizontalCentered="1"/>
  <pageMargins left="0" right="0" top="0" bottom="0" header="0" footer="0"/>
  <pageSetup paperSize="9" fitToHeight="0" orientation="portrait" r:id="rId1"/>
</worksheet>
</file>

<file path=xl/worksheets/sheet13.xml><?xml version="1.0" encoding="utf-8"?>
<worksheet xmlns="http://schemas.openxmlformats.org/spreadsheetml/2006/main" xmlns:r="http://schemas.openxmlformats.org/officeDocument/2006/relationships">
  <sheetPr>
    <pageSetUpPr fitToPage="1"/>
  </sheetPr>
  <dimension ref="B3:P40"/>
  <sheetViews>
    <sheetView view="pageBreakPreview" topLeftCell="A22" zoomScaleSheetLayoutView="100" workbookViewId="0">
      <selection sqref="A1:A1048576"/>
    </sheetView>
  </sheetViews>
  <sheetFormatPr defaultRowHeight="15"/>
  <cols>
    <col min="3" max="3" width="30.7109375" customWidth="1"/>
    <col min="4" max="4" width="10" bestFit="1" customWidth="1"/>
    <col min="6" max="6" width="10" bestFit="1" customWidth="1"/>
    <col min="7" max="7" width="16.7109375" bestFit="1" customWidth="1"/>
    <col min="8" max="8" width="11.28515625" bestFit="1" customWidth="1"/>
  </cols>
  <sheetData>
    <row r="3" spans="2:13">
      <c r="B3" s="377" t="s">
        <v>42</v>
      </c>
      <c r="C3" s="377"/>
      <c r="D3" s="377"/>
      <c r="E3" s="377"/>
      <c r="F3" s="377"/>
      <c r="G3" s="377"/>
    </row>
    <row r="4" spans="2:13">
      <c r="B4" s="7" t="s">
        <v>14</v>
      </c>
      <c r="C4" s="7" t="s">
        <v>12</v>
      </c>
      <c r="D4" s="7" t="s">
        <v>1</v>
      </c>
      <c r="E4" s="7" t="s">
        <v>2</v>
      </c>
      <c r="F4" s="7" t="s">
        <v>16</v>
      </c>
      <c r="G4" s="7" t="s">
        <v>3</v>
      </c>
    </row>
    <row r="5" spans="2:13" ht="45">
      <c r="B5" s="6">
        <v>1</v>
      </c>
      <c r="C5" s="2" t="s">
        <v>0</v>
      </c>
      <c r="D5" s="1">
        <f>52.5+6.13+30.28+2.94+1.26+3.78+3.26+1.48+7.21+1.28+0.25</f>
        <v>110.37</v>
      </c>
      <c r="E5" s="1" t="s">
        <v>4</v>
      </c>
      <c r="F5" s="11">
        <v>30811.3</v>
      </c>
      <c r="G5" s="3">
        <f>D5*F5</f>
        <v>3400643.1809999999</v>
      </c>
      <c r="I5">
        <f>18600*75</f>
        <v>1395000</v>
      </c>
    </row>
    <row r="6" spans="2:13" ht="180">
      <c r="B6" s="6">
        <v>2</v>
      </c>
      <c r="C6" s="2" t="s">
        <v>7</v>
      </c>
      <c r="D6" s="1"/>
      <c r="E6" s="1"/>
      <c r="F6" s="1"/>
      <c r="G6" s="3"/>
      <c r="I6">
        <f>I5/10000</f>
        <v>139.5</v>
      </c>
    </row>
    <row r="7" spans="2:13">
      <c r="B7" s="6"/>
      <c r="C7" s="1" t="s">
        <v>5</v>
      </c>
      <c r="D7" s="3">
        <f>3885+1225+600+7917+10512+9445+14016+11518+10045+12500+13003+4500+10936+35000+87123</f>
        <v>232225</v>
      </c>
      <c r="E7" s="1" t="s">
        <v>6</v>
      </c>
      <c r="F7" s="1">
        <v>90.23</v>
      </c>
      <c r="G7" s="3">
        <f>D7*F7</f>
        <v>20953661.75</v>
      </c>
      <c r="H7" s="19">
        <v>222225</v>
      </c>
      <c r="I7" s="18">
        <f>H7-D7</f>
        <v>-10000</v>
      </c>
      <c r="K7">
        <f>10640+600+700+960+375+240</f>
        <v>13515</v>
      </c>
    </row>
    <row r="8" spans="2:13" ht="178.5" customHeight="1">
      <c r="B8" s="6"/>
      <c r="C8" s="2" t="s">
        <v>31</v>
      </c>
      <c r="D8" s="3">
        <f>3000+250+525+73.5+9150+9463</f>
        <v>22461.5</v>
      </c>
      <c r="E8" s="1" t="s">
        <v>6</v>
      </c>
      <c r="F8" s="1">
        <v>308.11</v>
      </c>
      <c r="G8" s="3">
        <f>D8*F8</f>
        <v>6920612.7650000006</v>
      </c>
      <c r="H8">
        <f>18707+3754</f>
        <v>22461</v>
      </c>
      <c r="I8" s="18">
        <f>H8-D8</f>
        <v>-0.5</v>
      </c>
    </row>
    <row r="9" spans="2:13" ht="60">
      <c r="B9" s="6">
        <v>3</v>
      </c>
      <c r="C9" s="2" t="s">
        <v>9</v>
      </c>
      <c r="D9" s="3"/>
      <c r="E9" s="1"/>
      <c r="F9" s="1"/>
      <c r="G9" s="3"/>
      <c r="K9">
        <f>840+663+960+960+1300</f>
        <v>4723</v>
      </c>
      <c r="L9">
        <v>19000</v>
      </c>
    </row>
    <row r="10" spans="2:13" ht="42.75" customHeight="1">
      <c r="B10" s="6"/>
      <c r="C10" s="4" t="s">
        <v>8</v>
      </c>
      <c r="D10" s="3"/>
      <c r="E10" s="1" t="s">
        <v>6</v>
      </c>
      <c r="F10" s="1"/>
      <c r="G10" s="3"/>
    </row>
    <row r="11" spans="2:13">
      <c r="B11" s="6"/>
      <c r="C11" s="1" t="s">
        <v>10</v>
      </c>
      <c r="D11" s="3">
        <f>3885+1150+600+7143+9574+11077+12602+9981+10000+12000+14196+5500+9293+19600+104000</f>
        <v>230601</v>
      </c>
      <c r="E11" s="1" t="s">
        <v>6</v>
      </c>
      <c r="F11" s="1">
        <v>96.91</v>
      </c>
      <c r="G11" s="3">
        <f>D11*F11</f>
        <v>22347542.91</v>
      </c>
      <c r="M11">
        <f>135+130+189</f>
        <v>454</v>
      </c>
    </row>
    <row r="12" spans="2:13">
      <c r="B12" s="6"/>
      <c r="C12" s="1" t="s">
        <v>38</v>
      </c>
      <c r="D12" s="3">
        <f>10240+23723+12000+108634+35000+254753</f>
        <v>444350</v>
      </c>
      <c r="E12" s="1" t="s">
        <v>6</v>
      </c>
      <c r="F12" s="1">
        <v>249.23</v>
      </c>
      <c r="G12" s="3">
        <f>D12*F12</f>
        <v>110745350.5</v>
      </c>
      <c r="H12" s="19">
        <v>674951</v>
      </c>
      <c r="I12" s="18">
        <f>H12-D11</f>
        <v>444350</v>
      </c>
      <c r="J12" s="18">
        <f>I12-D12</f>
        <v>0</v>
      </c>
    </row>
    <row r="13" spans="2:13">
      <c r="B13" s="6"/>
      <c r="C13" s="5" t="s">
        <v>22</v>
      </c>
      <c r="D13" s="3"/>
      <c r="E13" s="1"/>
      <c r="F13" s="1"/>
      <c r="G13" s="3"/>
      <c r="J13">
        <f>103634-35000</f>
        <v>68634</v>
      </c>
    </row>
    <row r="14" spans="2:13" ht="75">
      <c r="B14" s="6">
        <v>4</v>
      </c>
      <c r="C14" s="2" t="s">
        <v>13</v>
      </c>
      <c r="D14" s="1"/>
      <c r="E14" s="1"/>
      <c r="F14" s="1"/>
      <c r="G14" s="1"/>
    </row>
    <row r="15" spans="2:13" ht="30">
      <c r="B15" s="1"/>
      <c r="C15" s="2" t="s">
        <v>11</v>
      </c>
      <c r="D15" s="16">
        <f>100+176+157+83.15+403+596+120.8+369.5+200</f>
        <v>2205.4499999999998</v>
      </c>
      <c r="E15" s="1" t="s">
        <v>6</v>
      </c>
      <c r="F15" s="1">
        <v>96.91</v>
      </c>
      <c r="G15" s="3">
        <f>D15*F15</f>
        <v>213730.15949999998</v>
      </c>
    </row>
    <row r="16" spans="2:13" ht="90">
      <c r="B16" s="1"/>
      <c r="C16" s="2" t="s">
        <v>23</v>
      </c>
      <c r="D16" s="16">
        <f>30.11+32+11.14+36.2+41.16+25+44.33+18.88+65.5+71</f>
        <v>375.32</v>
      </c>
      <c r="E16" s="1" t="s">
        <v>6</v>
      </c>
      <c r="F16" s="1">
        <v>4576.99</v>
      </c>
      <c r="G16" s="3">
        <f>D16*F16</f>
        <v>1717835.8868</v>
      </c>
      <c r="H16">
        <f>18.88+65</f>
        <v>83.88</v>
      </c>
      <c r="I16">
        <f>64.85+310.3</f>
        <v>375.15</v>
      </c>
    </row>
    <row r="17" spans="2:16" ht="90">
      <c r="B17" s="1"/>
      <c r="C17" s="2" t="s">
        <v>25</v>
      </c>
      <c r="D17" s="16">
        <v>1914.5</v>
      </c>
      <c r="E17" s="1" t="s">
        <v>6</v>
      </c>
      <c r="F17" s="1">
        <v>5868.53</v>
      </c>
      <c r="G17" s="3">
        <f>D17*F17</f>
        <v>11235300.684999999</v>
      </c>
      <c r="H17">
        <f>174.9+16+50</f>
        <v>240.9</v>
      </c>
      <c r="I17">
        <f>1891+23.5</f>
        <v>1914.5</v>
      </c>
      <c r="M17">
        <v>53</v>
      </c>
      <c r="N17" t="s">
        <v>35</v>
      </c>
      <c r="O17">
        <v>27</v>
      </c>
      <c r="P17" t="s">
        <v>36</v>
      </c>
    </row>
    <row r="18" spans="2:16" ht="90">
      <c r="B18" s="1"/>
      <c r="C18" s="2" t="s">
        <v>28</v>
      </c>
      <c r="D18" s="17">
        <v>255</v>
      </c>
      <c r="E18" s="1" t="s">
        <v>29</v>
      </c>
      <c r="F18" s="1">
        <v>75718.77</v>
      </c>
      <c r="G18" s="3">
        <f>D18*F18</f>
        <v>19308286.350000001</v>
      </c>
      <c r="H18" s="20">
        <f>D17*0.1</f>
        <v>191.45000000000002</v>
      </c>
      <c r="J18">
        <f>482*0.1</f>
        <v>48.2</v>
      </c>
    </row>
    <row r="19" spans="2:16" ht="90">
      <c r="B19" s="1"/>
      <c r="C19" s="2" t="s">
        <v>33</v>
      </c>
      <c r="D19" s="3"/>
      <c r="E19" s="1"/>
      <c r="F19" s="1"/>
      <c r="G19" s="3"/>
    </row>
    <row r="20" spans="2:16">
      <c r="B20" s="1"/>
      <c r="C20" s="2" t="s">
        <v>34</v>
      </c>
      <c r="D20" s="3">
        <v>42.33</v>
      </c>
      <c r="E20" s="1" t="s">
        <v>6</v>
      </c>
      <c r="F20" s="1">
        <v>6468</v>
      </c>
      <c r="G20" s="3">
        <f>D20*F20</f>
        <v>273790.44</v>
      </c>
    </row>
    <row r="21" spans="2:16">
      <c r="B21" s="6"/>
      <c r="C21" s="5" t="s">
        <v>26</v>
      </c>
      <c r="D21" s="3"/>
      <c r="E21" s="1"/>
      <c r="F21" s="1"/>
      <c r="G21" s="3"/>
    </row>
    <row r="22" spans="2:16" ht="75">
      <c r="B22" s="6">
        <v>5</v>
      </c>
      <c r="C22" s="2" t="s">
        <v>13</v>
      </c>
      <c r="D22" s="1"/>
      <c r="E22" s="1"/>
      <c r="F22" s="1"/>
      <c r="G22" s="1"/>
    </row>
    <row r="23" spans="2:16" ht="30">
      <c r="B23" s="1"/>
      <c r="C23" s="2" t="s">
        <v>11</v>
      </c>
      <c r="D23" s="3">
        <f>1280+414.4+2570</f>
        <v>4264.3999999999996</v>
      </c>
      <c r="E23" s="1" t="s">
        <v>6</v>
      </c>
      <c r="F23" s="1">
        <v>112.79</v>
      </c>
      <c r="G23" s="3">
        <f>D23*F23</f>
        <v>480981.67599999998</v>
      </c>
    </row>
    <row r="24" spans="2:16" ht="90">
      <c r="B24" s="1"/>
      <c r="C24" s="2" t="s">
        <v>23</v>
      </c>
      <c r="D24" s="3">
        <v>257</v>
      </c>
      <c r="E24" s="1" t="s">
        <v>6</v>
      </c>
      <c r="F24" s="1">
        <v>4576.99</v>
      </c>
      <c r="G24" s="3">
        <f>D24*F24</f>
        <v>1176286.43</v>
      </c>
      <c r="L24">
        <f>3*15*7*0.45</f>
        <v>141.75</v>
      </c>
    </row>
    <row r="25" spans="2:16" ht="105">
      <c r="B25" s="1"/>
      <c r="C25" s="2" t="s">
        <v>40</v>
      </c>
      <c r="D25" s="3">
        <v>694</v>
      </c>
      <c r="E25" s="1" t="s">
        <v>6</v>
      </c>
      <c r="F25" s="1">
        <v>5868.53</v>
      </c>
      <c r="G25" s="3">
        <f>D25*F25</f>
        <v>4072759.82</v>
      </c>
      <c r="J25">
        <f>154*0.1</f>
        <v>15.4</v>
      </c>
    </row>
    <row r="26" spans="2:16" ht="105">
      <c r="B26" s="1"/>
      <c r="C26" s="2" t="s">
        <v>41</v>
      </c>
      <c r="D26" s="3">
        <v>418</v>
      </c>
      <c r="E26" s="1" t="s">
        <v>6</v>
      </c>
      <c r="F26" s="1">
        <v>6025.2</v>
      </c>
      <c r="G26" s="3">
        <f>D26*F26</f>
        <v>2518533.6</v>
      </c>
      <c r="J26">
        <f>154*0.1</f>
        <v>15.4</v>
      </c>
    </row>
    <row r="27" spans="2:16" ht="90">
      <c r="B27" s="1"/>
      <c r="C27" s="2" t="s">
        <v>28</v>
      </c>
      <c r="D27" s="17">
        <v>356</v>
      </c>
      <c r="E27" s="1" t="s">
        <v>29</v>
      </c>
      <c r="F27" s="1">
        <v>75718.77</v>
      </c>
      <c r="G27" s="3">
        <f>D27*F27</f>
        <v>26955882.120000001</v>
      </c>
      <c r="H27" s="20">
        <f>D26*0.1</f>
        <v>41.800000000000004</v>
      </c>
      <c r="J27">
        <f>482*0.1</f>
        <v>48.2</v>
      </c>
    </row>
    <row r="28" spans="2:16">
      <c r="C28" s="14"/>
      <c r="D28" s="15"/>
      <c r="E28" s="1"/>
      <c r="F28" s="1"/>
      <c r="G28" s="3"/>
    </row>
    <row r="29" spans="2:16">
      <c r="E29" s="13">
        <f>G29/G30</f>
        <v>3.3321552799486523E-2</v>
      </c>
      <c r="F29" s="9"/>
      <c r="G29" s="8">
        <f>SUM(G5:G28)</f>
        <v>232321198.27329999</v>
      </c>
    </row>
    <row r="30" spans="2:16">
      <c r="E30" s="5">
        <v>100</v>
      </c>
      <c r="F30" s="5"/>
      <c r="G30" s="10">
        <v>6972100000</v>
      </c>
    </row>
    <row r="40" spans="10:10">
      <c r="J40">
        <f>60*4.5*35</f>
        <v>9450</v>
      </c>
    </row>
  </sheetData>
  <mergeCells count="1">
    <mergeCell ref="B3:G3"/>
  </mergeCells>
  <printOptions horizontalCentered="1"/>
  <pageMargins left="0" right="0" top="0" bottom="0" header="0" footer="0"/>
  <pageSetup paperSize="9" fitToHeight="0" orientation="portrait" r:id="rId1"/>
</worksheet>
</file>

<file path=xl/worksheets/sheet14.xml><?xml version="1.0" encoding="utf-8"?>
<worksheet xmlns="http://schemas.openxmlformats.org/spreadsheetml/2006/main" xmlns:r="http://schemas.openxmlformats.org/officeDocument/2006/relationships">
  <dimension ref="B3:P49"/>
  <sheetViews>
    <sheetView view="pageBreakPreview" topLeftCell="A35" zoomScale="90" zoomScaleSheetLayoutView="90" workbookViewId="0">
      <selection sqref="A1:A1048576"/>
    </sheetView>
  </sheetViews>
  <sheetFormatPr defaultRowHeight="15"/>
  <cols>
    <col min="2" max="2" width="9.28515625" bestFit="1" customWidth="1"/>
    <col min="3" max="3" width="30.7109375" customWidth="1"/>
    <col min="4" max="4" width="10.5703125" bestFit="1" customWidth="1"/>
    <col min="6" max="6" width="10.85546875" bestFit="1" customWidth="1"/>
    <col min="7" max="7" width="16.85546875" bestFit="1" customWidth="1"/>
    <col min="8" max="8" width="11.42578125" bestFit="1" customWidth="1"/>
    <col min="9" max="9" width="10.5703125" bestFit="1" customWidth="1"/>
    <col min="10" max="13" width="9.28515625" bestFit="1" customWidth="1"/>
  </cols>
  <sheetData>
    <row r="3" spans="2:13">
      <c r="B3" s="377" t="s">
        <v>47</v>
      </c>
      <c r="C3" s="377"/>
      <c r="D3" s="377"/>
      <c r="E3" s="377"/>
      <c r="F3" s="377"/>
      <c r="G3" s="377"/>
    </row>
    <row r="4" spans="2:13">
      <c r="B4" s="7" t="s">
        <v>14</v>
      </c>
      <c r="C4" s="7" t="s">
        <v>12</v>
      </c>
      <c r="D4" s="7" t="s">
        <v>1</v>
      </c>
      <c r="E4" s="7" t="s">
        <v>2</v>
      </c>
      <c r="F4" s="7" t="s">
        <v>16</v>
      </c>
      <c r="G4" s="7" t="s">
        <v>3</v>
      </c>
    </row>
    <row r="5" spans="2:13" ht="45">
      <c r="B5" s="6">
        <v>1</v>
      </c>
      <c r="C5" s="2" t="s">
        <v>0</v>
      </c>
      <c r="D5" s="1">
        <f>52.5+6.13+30.28+2.94+1.26+3.78+3.26+1.48+7.21+1.28+0.25</f>
        <v>110.37</v>
      </c>
      <c r="E5" s="1" t="s">
        <v>4</v>
      </c>
      <c r="F5" s="11">
        <v>30811.3</v>
      </c>
      <c r="G5" s="3">
        <f>D5*F5</f>
        <v>3400643.1809999999</v>
      </c>
      <c r="I5">
        <f>18600*75</f>
        <v>1395000</v>
      </c>
    </row>
    <row r="6" spans="2:13" ht="180">
      <c r="B6" s="6">
        <v>2</v>
      </c>
      <c r="C6" s="2" t="s">
        <v>7</v>
      </c>
      <c r="D6" s="1"/>
      <c r="E6" s="1"/>
      <c r="F6" s="1"/>
      <c r="G6" s="3"/>
      <c r="I6">
        <f>I5/10000</f>
        <v>139.5</v>
      </c>
    </row>
    <row r="7" spans="2:13">
      <c r="B7" s="6"/>
      <c r="C7" s="1" t="s">
        <v>5</v>
      </c>
      <c r="D7" s="26">
        <f>3885+1225+600+7917+10512+9445+14016+11518+10045+12500+13003+4500+10936+35000+87123+65517</f>
        <v>297742</v>
      </c>
      <c r="E7" s="1" t="s">
        <v>6</v>
      </c>
      <c r="F7" s="1">
        <v>90.23</v>
      </c>
      <c r="G7" s="3">
        <f>D7*F7</f>
        <v>26865260.66</v>
      </c>
      <c r="H7" s="19">
        <v>222225</v>
      </c>
      <c r="I7" s="18">
        <f>H7-D7</f>
        <v>-75517</v>
      </c>
      <c r="K7">
        <f>10640+600+700+960+375+240</f>
        <v>13515</v>
      </c>
    </row>
    <row r="8" spans="2:13" ht="178.5" customHeight="1">
      <c r="B8" s="6"/>
      <c r="C8" s="2" t="s">
        <v>31</v>
      </c>
      <c r="D8" s="26">
        <f>3000+250+525+73.5+9150+9463+9163</f>
        <v>31624.5</v>
      </c>
      <c r="E8" s="1" t="s">
        <v>6</v>
      </c>
      <c r="F8" s="1">
        <v>308.11</v>
      </c>
      <c r="G8" s="3">
        <f>D8*F8</f>
        <v>9743824.6950000003</v>
      </c>
      <c r="H8">
        <f>18707+3754</f>
        <v>22461</v>
      </c>
      <c r="I8" s="18">
        <f>H8-D8</f>
        <v>-9163.5</v>
      </c>
    </row>
    <row r="9" spans="2:13" ht="60">
      <c r="B9" s="6">
        <v>3</v>
      </c>
      <c r="C9" s="2" t="s">
        <v>9</v>
      </c>
      <c r="D9" s="3"/>
      <c r="E9" s="1"/>
      <c r="F9" s="1"/>
      <c r="G9" s="3"/>
      <c r="K9">
        <f>840+663+960+960+1300</f>
        <v>4723</v>
      </c>
      <c r="L9">
        <v>19000</v>
      </c>
    </row>
    <row r="10" spans="2:13" ht="42.75" customHeight="1">
      <c r="B10" s="6"/>
      <c r="C10" s="4" t="s">
        <v>8</v>
      </c>
      <c r="D10" s="3"/>
      <c r="E10" s="1" t="s">
        <v>6</v>
      </c>
      <c r="F10" s="1"/>
      <c r="G10" s="3"/>
    </row>
    <row r="11" spans="2:13">
      <c r="B11" s="6"/>
      <c r="C11" s="1" t="s">
        <v>10</v>
      </c>
      <c r="D11" s="26">
        <f>3885+1150+600+7143+9574+11077+12602+9981+10000+12000+14196+5500+9293+19600+104000+37691</f>
        <v>268292</v>
      </c>
      <c r="E11" s="1" t="s">
        <v>6</v>
      </c>
      <c r="F11" s="1">
        <v>96.91</v>
      </c>
      <c r="G11" s="3">
        <f>D11*F11</f>
        <v>26000177.719999999</v>
      </c>
      <c r="M11">
        <f>135+130+189</f>
        <v>454</v>
      </c>
    </row>
    <row r="12" spans="2:13">
      <c r="B12" s="6"/>
      <c r="C12" s="1" t="s">
        <v>38</v>
      </c>
      <c r="D12" s="26">
        <f>10240+23723+12000+108634+35000+254753+215397</f>
        <v>659747</v>
      </c>
      <c r="E12" s="1" t="s">
        <v>6</v>
      </c>
      <c r="F12" s="1">
        <v>249.23</v>
      </c>
      <c r="G12" s="3">
        <f>D12*F12</f>
        <v>164428744.81</v>
      </c>
      <c r="H12" s="19">
        <v>674951</v>
      </c>
      <c r="I12" s="18">
        <f>H12-D11</f>
        <v>406659</v>
      </c>
      <c r="J12" s="18">
        <f>I12-D12</f>
        <v>-253088</v>
      </c>
    </row>
    <row r="13" spans="2:13">
      <c r="B13" s="6"/>
      <c r="C13" s="5" t="s">
        <v>22</v>
      </c>
      <c r="D13" s="3"/>
      <c r="E13" s="1"/>
      <c r="F13" s="1"/>
      <c r="G13" s="3"/>
      <c r="J13">
        <f>103634-35000</f>
        <v>68634</v>
      </c>
    </row>
    <row r="14" spans="2:13" ht="75">
      <c r="B14" s="6">
        <v>4</v>
      </c>
      <c r="C14" s="2" t="s">
        <v>13</v>
      </c>
      <c r="D14" s="1"/>
      <c r="E14" s="1"/>
      <c r="F14" s="1"/>
      <c r="G14" s="1"/>
    </row>
    <row r="15" spans="2:13" ht="30">
      <c r="B15" s="1"/>
      <c r="C15" s="2" t="s">
        <v>11</v>
      </c>
      <c r="D15" s="24">
        <v>4665</v>
      </c>
      <c r="E15" s="1" t="s">
        <v>6</v>
      </c>
      <c r="F15" s="1">
        <v>96.91</v>
      </c>
      <c r="G15" s="3">
        <f>D15*F15</f>
        <v>452085.14999999997</v>
      </c>
    </row>
    <row r="16" spans="2:13" ht="90">
      <c r="B16" s="1"/>
      <c r="C16" s="2" t="s">
        <v>23</v>
      </c>
      <c r="D16" s="25">
        <v>932.6</v>
      </c>
      <c r="E16" s="1" t="s">
        <v>6</v>
      </c>
      <c r="F16" s="1">
        <v>4576.99</v>
      </c>
      <c r="G16" s="3">
        <f>D16*F16</f>
        <v>4268500.8739999998</v>
      </c>
      <c r="H16">
        <f>18.88+65</f>
        <v>83.88</v>
      </c>
      <c r="I16">
        <f>64.85+310.3</f>
        <v>375.15</v>
      </c>
    </row>
    <row r="17" spans="2:16" ht="90">
      <c r="B17" s="1"/>
      <c r="C17" s="2" t="s">
        <v>25</v>
      </c>
      <c r="D17" s="24">
        <v>4431</v>
      </c>
      <c r="E17" s="1" t="s">
        <v>6</v>
      </c>
      <c r="F17" s="1">
        <v>5868.53</v>
      </c>
      <c r="G17" s="3">
        <f>D17*F17</f>
        <v>26003456.43</v>
      </c>
      <c r="H17">
        <f>174.9+16+50</f>
        <v>240.9</v>
      </c>
      <c r="I17">
        <f>1891+23.5</f>
        <v>1914.5</v>
      </c>
      <c r="M17">
        <v>53</v>
      </c>
      <c r="N17" t="s">
        <v>35</v>
      </c>
      <c r="O17">
        <v>27</v>
      </c>
      <c r="P17" t="s">
        <v>36</v>
      </c>
    </row>
    <row r="18" spans="2:16" ht="90">
      <c r="B18" s="1"/>
      <c r="C18" s="2" t="s">
        <v>28</v>
      </c>
      <c r="D18" s="17">
        <v>355</v>
      </c>
      <c r="E18" s="1" t="s">
        <v>29</v>
      </c>
      <c r="F18" s="1">
        <v>75718.77</v>
      </c>
      <c r="G18" s="3">
        <f>D18*F18</f>
        <v>26880163.350000001</v>
      </c>
      <c r="H18" s="20">
        <f>D17*0.1</f>
        <v>443.1</v>
      </c>
      <c r="J18">
        <f>482*0.1</f>
        <v>48.2</v>
      </c>
    </row>
    <row r="19" spans="2:16" ht="90">
      <c r="B19" s="1"/>
      <c r="C19" s="2" t="s">
        <v>33</v>
      </c>
      <c r="D19" s="3"/>
      <c r="E19" s="1"/>
      <c r="F19" s="1"/>
      <c r="G19" s="3"/>
    </row>
    <row r="20" spans="2:16">
      <c r="B20" s="1"/>
      <c r="C20" s="2" t="s">
        <v>34</v>
      </c>
      <c r="D20" s="3"/>
      <c r="E20" s="1" t="s">
        <v>6</v>
      </c>
      <c r="F20" s="1">
        <v>6468</v>
      </c>
      <c r="G20" s="3">
        <f>D20*F20</f>
        <v>0</v>
      </c>
    </row>
    <row r="21" spans="2:16">
      <c r="B21" s="6"/>
      <c r="C21" s="5" t="s">
        <v>26</v>
      </c>
      <c r="D21" s="3"/>
      <c r="E21" s="1"/>
      <c r="F21" s="1"/>
      <c r="G21" s="3"/>
      <c r="H21" t="s">
        <v>45</v>
      </c>
    </row>
    <row r="22" spans="2:16" ht="75">
      <c r="B22" s="6">
        <v>5</v>
      </c>
      <c r="C22" s="2" t="s">
        <v>13</v>
      </c>
      <c r="D22" s="1"/>
      <c r="E22" s="1"/>
      <c r="F22" s="1"/>
      <c r="G22" s="1"/>
    </row>
    <row r="23" spans="2:16" ht="30">
      <c r="B23" s="1"/>
      <c r="C23" s="2" t="s">
        <v>11</v>
      </c>
      <c r="D23" s="26">
        <v>7859</v>
      </c>
      <c r="E23" s="1" t="s">
        <v>6</v>
      </c>
      <c r="F23" s="1">
        <v>112.79</v>
      </c>
      <c r="G23" s="3">
        <f>D23*F23</f>
        <v>886416.6100000001</v>
      </c>
    </row>
    <row r="24" spans="2:16" ht="90">
      <c r="B24" s="1"/>
      <c r="C24" s="2" t="s">
        <v>23</v>
      </c>
      <c r="D24" s="26">
        <v>519</v>
      </c>
      <c r="E24" s="1" t="s">
        <v>6</v>
      </c>
      <c r="F24" s="1">
        <v>4576.99</v>
      </c>
      <c r="G24" s="3">
        <f>D24*F24</f>
        <v>2375457.81</v>
      </c>
      <c r="L24">
        <f>3*15*7*0.45</f>
        <v>141.75</v>
      </c>
    </row>
    <row r="25" spans="2:16" ht="105">
      <c r="B25" s="1"/>
      <c r="C25" s="2" t="s">
        <v>40</v>
      </c>
      <c r="D25" s="26">
        <v>2944</v>
      </c>
      <c r="E25" s="1" t="s">
        <v>6</v>
      </c>
      <c r="F25" s="1">
        <v>5868.53</v>
      </c>
      <c r="G25" s="3">
        <f>D25*F25</f>
        <v>17276952.32</v>
      </c>
      <c r="J25">
        <f>154*0.1</f>
        <v>15.4</v>
      </c>
    </row>
    <row r="26" spans="2:16" ht="105">
      <c r="B26" s="1"/>
      <c r="C26" s="2" t="s">
        <v>41</v>
      </c>
      <c r="D26" s="26">
        <v>1384</v>
      </c>
      <c r="E26" s="1" t="s">
        <v>6</v>
      </c>
      <c r="F26" s="1">
        <v>6025.2</v>
      </c>
      <c r="G26" s="3">
        <f>D26*F26</f>
        <v>8338876.7999999998</v>
      </c>
      <c r="J26">
        <f>154*0.1</f>
        <v>15.4</v>
      </c>
    </row>
    <row r="27" spans="2:16" ht="90">
      <c r="B27" s="1"/>
      <c r="C27" s="2" t="s">
        <v>28</v>
      </c>
      <c r="D27" s="17">
        <v>475</v>
      </c>
      <c r="E27" s="1" t="s">
        <v>29</v>
      </c>
      <c r="F27" s="1">
        <v>75718.77</v>
      </c>
      <c r="G27" s="3">
        <f>D27*F27</f>
        <v>35966415.75</v>
      </c>
      <c r="H27" s="20">
        <f>D26*0.1</f>
        <v>138.4</v>
      </c>
      <c r="J27">
        <f>482*0.1</f>
        <v>48.2</v>
      </c>
    </row>
    <row r="28" spans="2:16">
      <c r="B28" s="6"/>
      <c r="C28" s="5" t="s">
        <v>43</v>
      </c>
      <c r="D28" s="3"/>
      <c r="E28" s="1"/>
      <c r="F28" s="1"/>
      <c r="G28" s="3"/>
      <c r="H28" t="s">
        <v>46</v>
      </c>
    </row>
    <row r="29" spans="2:16" ht="75">
      <c r="B29" s="6">
        <v>5</v>
      </c>
      <c r="C29" s="2" t="s">
        <v>13</v>
      </c>
      <c r="D29" s="1"/>
      <c r="E29" s="1"/>
      <c r="F29" s="1"/>
      <c r="G29" s="1"/>
    </row>
    <row r="30" spans="2:16" ht="30">
      <c r="B30" s="1"/>
      <c r="C30" s="2" t="s">
        <v>11</v>
      </c>
      <c r="D30" s="26">
        <v>1833</v>
      </c>
      <c r="E30" s="1" t="s">
        <v>6</v>
      </c>
      <c r="F30" s="1">
        <v>22751</v>
      </c>
      <c r="G30" s="3">
        <f>D30*F30</f>
        <v>41702583</v>
      </c>
    </row>
    <row r="31" spans="2:16" ht="90">
      <c r="B31" s="1"/>
      <c r="C31" s="2" t="s">
        <v>23</v>
      </c>
      <c r="D31" s="26">
        <v>91.5</v>
      </c>
      <c r="E31" s="1" t="s">
        <v>6</v>
      </c>
      <c r="F31" s="1">
        <v>1076</v>
      </c>
      <c r="G31" s="3">
        <f>D31*F31</f>
        <v>98454</v>
      </c>
      <c r="L31">
        <f>3*15*7*0.45</f>
        <v>141.75</v>
      </c>
    </row>
    <row r="32" spans="2:16" ht="105">
      <c r="B32" s="1"/>
      <c r="C32" s="2" t="s">
        <v>40</v>
      </c>
      <c r="D32" s="26">
        <v>48</v>
      </c>
      <c r="E32" s="1" t="s">
        <v>6</v>
      </c>
      <c r="F32" s="1">
        <v>3131</v>
      </c>
      <c r="G32" s="3">
        <f>D32*F32</f>
        <v>150288</v>
      </c>
      <c r="J32">
        <f>154*0.1</f>
        <v>15.4</v>
      </c>
    </row>
    <row r="33" spans="2:10" ht="105">
      <c r="B33" s="1"/>
      <c r="C33" s="2" t="s">
        <v>41</v>
      </c>
      <c r="D33" s="26">
        <v>54</v>
      </c>
      <c r="E33" s="1" t="s">
        <v>6</v>
      </c>
      <c r="F33" s="1">
        <v>5985</v>
      </c>
      <c r="G33" s="3">
        <f>D33*F33</f>
        <v>323190</v>
      </c>
      <c r="J33">
        <f>154*0.1</f>
        <v>15.4</v>
      </c>
    </row>
    <row r="34" spans="2:10" ht="90">
      <c r="B34" s="1"/>
      <c r="C34" s="2" t="s">
        <v>28</v>
      </c>
      <c r="D34" s="17">
        <v>18.29</v>
      </c>
      <c r="E34" s="1" t="s">
        <v>29</v>
      </c>
      <c r="F34" s="1">
        <f>F27</f>
        <v>75718.77</v>
      </c>
      <c r="G34" s="3">
        <f>D34*F34</f>
        <v>1384896.3033</v>
      </c>
      <c r="H34" s="20">
        <f>D33*0.1</f>
        <v>5.4</v>
      </c>
      <c r="J34">
        <f>482*0.1</f>
        <v>48.2</v>
      </c>
    </row>
    <row r="35" spans="2:10" ht="105">
      <c r="B35" s="1"/>
      <c r="C35" s="2" t="s">
        <v>44</v>
      </c>
      <c r="D35" s="17"/>
      <c r="E35" s="1"/>
      <c r="F35" s="1"/>
      <c r="G35" s="3"/>
      <c r="H35" s="20"/>
    </row>
    <row r="36" spans="2:10">
      <c r="C36" s="14"/>
      <c r="D36" s="21"/>
      <c r="E36" s="22"/>
      <c r="F36" s="22"/>
      <c r="G36" s="23"/>
      <c r="H36" s="20"/>
    </row>
    <row r="37" spans="2:10">
      <c r="C37" s="14"/>
      <c r="D37" s="15"/>
      <c r="E37" s="1"/>
      <c r="F37" s="1"/>
      <c r="G37" s="3"/>
    </row>
    <row r="38" spans="2:10">
      <c r="E38" s="13">
        <f>G38/G39</f>
        <v>5.6876176110970879E-2</v>
      </c>
      <c r="F38" s="9"/>
      <c r="G38" s="8">
        <f>SUM(G5:G37)</f>
        <v>396546387.46330005</v>
      </c>
    </row>
    <row r="39" spans="2:10">
      <c r="E39" s="5">
        <v>100</v>
      </c>
      <c r="F39" s="5"/>
      <c r="G39" s="10">
        <v>6972100000</v>
      </c>
    </row>
    <row r="49" spans="10:10">
      <c r="J49">
        <f>60*4.5*35</f>
        <v>9450</v>
      </c>
    </row>
  </sheetData>
  <mergeCells count="1">
    <mergeCell ref="B3:G3"/>
  </mergeCells>
  <pageMargins left="0.70866141732283472" right="0.70866141732283472" top="0.74803149606299213" bottom="0.74803149606299213" header="0.31496062992125984" footer="0.31496062992125984"/>
  <pageSetup scale="87" orientation="portrait" r:id="rId1"/>
  <rowBreaks count="3" manualBreakCount="3">
    <brk id="12" min="1" max="6" man="1"/>
    <brk id="25" min="1" max="6" man="1"/>
    <brk id="35" min="1" max="6" man="1"/>
  </rowBreaks>
</worksheet>
</file>

<file path=xl/worksheets/sheet15.xml><?xml version="1.0" encoding="utf-8"?>
<worksheet xmlns="http://schemas.openxmlformats.org/spreadsheetml/2006/main" xmlns:r="http://schemas.openxmlformats.org/officeDocument/2006/relationships">
  <sheetPr>
    <tabColor rgb="FF00B050"/>
  </sheetPr>
  <dimension ref="A3:P43"/>
  <sheetViews>
    <sheetView view="pageBreakPreview" zoomScale="90" zoomScaleSheetLayoutView="90" workbookViewId="0">
      <pane xSplit="3" ySplit="4" topLeftCell="D5" activePane="bottomRight" state="frozen"/>
      <selection pane="topRight" activeCell="D1" sqref="D1"/>
      <selection pane="bottomLeft" activeCell="A5" sqref="A5"/>
      <selection pane="bottomRight" activeCell="B3" sqref="B3:G3"/>
    </sheetView>
  </sheetViews>
  <sheetFormatPr defaultRowHeight="15"/>
  <cols>
    <col min="2" max="2" width="9.28515625" bestFit="1" customWidth="1"/>
    <col min="3" max="3" width="30.7109375" customWidth="1"/>
    <col min="4" max="4" width="10.7109375" bestFit="1" customWidth="1"/>
    <col min="6" max="6" width="11.5703125" bestFit="1" customWidth="1"/>
    <col min="7" max="7" width="16.85546875" bestFit="1" customWidth="1"/>
    <col min="8" max="8" width="11.42578125" bestFit="1" customWidth="1"/>
    <col min="9" max="9" width="10.5703125" bestFit="1" customWidth="1"/>
    <col min="10" max="13" width="9.28515625" bestFit="1" customWidth="1"/>
  </cols>
  <sheetData>
    <row r="3" spans="1:10">
      <c r="B3" s="377" t="s">
        <v>59</v>
      </c>
      <c r="C3" s="377"/>
      <c r="D3" s="377"/>
      <c r="E3" s="377"/>
      <c r="F3" s="377"/>
      <c r="G3" s="377"/>
    </row>
    <row r="4" spans="1:10">
      <c r="B4" s="7" t="s">
        <v>14</v>
      </c>
      <c r="C4" s="7" t="s">
        <v>12</v>
      </c>
      <c r="D4" s="7" t="s">
        <v>1</v>
      </c>
      <c r="E4" s="7" t="s">
        <v>2</v>
      </c>
      <c r="F4" s="7" t="s">
        <v>16</v>
      </c>
      <c r="G4" s="7" t="s">
        <v>3</v>
      </c>
    </row>
    <row r="5" spans="1:10" ht="45">
      <c r="B5" s="6">
        <v>1</v>
      </c>
      <c r="C5" s="2" t="s">
        <v>0</v>
      </c>
      <c r="D5" s="1">
        <f>52.5+6.13+30.28+2.94+1.26+3.78+3.26+1.48+7.21+1.28+0.25+2</f>
        <v>112.37</v>
      </c>
      <c r="E5" s="1" t="s">
        <v>4</v>
      </c>
      <c r="F5" s="11">
        <v>30811.3</v>
      </c>
      <c r="G5" s="3">
        <f>D5*F5</f>
        <v>3462265.781</v>
      </c>
    </row>
    <row r="6" spans="1:10" ht="180">
      <c r="B6" s="6">
        <v>2</v>
      </c>
      <c r="C6" s="2" t="s">
        <v>7</v>
      </c>
      <c r="D6" s="1"/>
      <c r="E6" s="1"/>
      <c r="F6" s="1"/>
      <c r="G6" s="3"/>
    </row>
    <row r="7" spans="1:10">
      <c r="B7" s="6"/>
      <c r="C7" s="1" t="s">
        <v>5</v>
      </c>
      <c r="D7" s="35">
        <f>3885+1225+600+7917+10512+9445+14016+11518+10045+12500+13003+4500+10936+35000+87123+65517+96831</f>
        <v>394573</v>
      </c>
      <c r="E7" s="1" t="s">
        <v>6</v>
      </c>
      <c r="F7" s="1">
        <v>90.23</v>
      </c>
      <c r="G7" s="3">
        <f>D7*F7</f>
        <v>35602321.789999999</v>
      </c>
      <c r="H7" s="19">
        <v>96831</v>
      </c>
      <c r="I7" s="18"/>
    </row>
    <row r="8" spans="1:10" ht="195">
      <c r="B8" s="6"/>
      <c r="C8" s="2" t="s">
        <v>31</v>
      </c>
      <c r="D8" s="36">
        <f>3000+250+525+73.5+9150+9463+916+23311</f>
        <v>46688.5</v>
      </c>
      <c r="E8" s="1" t="s">
        <v>6</v>
      </c>
      <c r="F8" s="1">
        <v>308.11</v>
      </c>
      <c r="G8" s="3">
        <f>D8*F8</f>
        <v>14385193.735000001</v>
      </c>
      <c r="I8" s="18"/>
    </row>
    <row r="9" spans="1:10" ht="60">
      <c r="B9" s="6">
        <v>3</v>
      </c>
      <c r="C9" s="2" t="s">
        <v>9</v>
      </c>
      <c r="D9" s="3"/>
      <c r="E9" s="1"/>
      <c r="F9" s="1"/>
      <c r="G9" s="3"/>
    </row>
    <row r="10" spans="1:10" ht="60">
      <c r="B10" s="6"/>
      <c r="C10" s="4" t="s">
        <v>8</v>
      </c>
      <c r="D10" s="3"/>
      <c r="E10" s="1" t="s">
        <v>6</v>
      </c>
      <c r="F10" s="1"/>
      <c r="G10" s="3"/>
    </row>
    <row r="11" spans="1:10">
      <c r="B11" s="6"/>
      <c r="C11" s="1" t="s">
        <v>10</v>
      </c>
      <c r="D11" s="36">
        <f>3885+1150+600+7143+9574+11077+12602+9981+10000+12000+14196+5500+9293+19600+104000+37691+75764+10000</f>
        <v>354056</v>
      </c>
      <c r="E11" s="1" t="s">
        <v>6</v>
      </c>
      <c r="F11" s="1">
        <v>96.91</v>
      </c>
      <c r="G11" s="3">
        <f>D11*F11</f>
        <v>34311566.960000001</v>
      </c>
    </row>
    <row r="12" spans="1:10">
      <c r="B12" s="6"/>
      <c r="C12" s="1" t="s">
        <v>38</v>
      </c>
      <c r="D12" s="36">
        <f>10240+23723+12000+108634+35000+254753+215397+196660+145000</f>
        <v>1001407</v>
      </c>
      <c r="E12" s="1" t="s">
        <v>6</v>
      </c>
      <c r="F12" s="1">
        <v>249.23</v>
      </c>
      <c r="G12" s="3">
        <f>D12*F12</f>
        <v>249580666.60999998</v>
      </c>
      <c r="H12" s="19"/>
      <c r="I12" s="18"/>
      <c r="J12" s="18"/>
    </row>
    <row r="13" spans="1:10">
      <c r="A13" t="s">
        <v>49</v>
      </c>
      <c r="B13" s="6"/>
      <c r="C13" s="5" t="s">
        <v>22</v>
      </c>
      <c r="D13" s="3"/>
      <c r="E13" s="1"/>
      <c r="F13" s="1"/>
      <c r="G13" s="3"/>
    </row>
    <row r="14" spans="1:10" ht="75">
      <c r="B14" s="6">
        <v>4</v>
      </c>
      <c r="C14" s="2" t="s">
        <v>13</v>
      </c>
      <c r="D14" s="1"/>
      <c r="E14" s="1"/>
      <c r="F14" s="1"/>
      <c r="G14" s="1"/>
    </row>
    <row r="15" spans="1:10" ht="30">
      <c r="B15" s="1"/>
      <c r="C15" s="2" t="s">
        <v>11</v>
      </c>
      <c r="D15" s="17">
        <f>4665+2000</f>
        <v>6665</v>
      </c>
      <c r="E15" s="1" t="s">
        <v>6</v>
      </c>
      <c r="F15" s="1">
        <v>96.91</v>
      </c>
      <c r="G15" s="3">
        <f>D15*F15</f>
        <v>645905.15</v>
      </c>
      <c r="H15">
        <v>2000</v>
      </c>
    </row>
    <row r="16" spans="1:10" ht="90">
      <c r="B16" s="1"/>
      <c r="C16" s="2" t="s">
        <v>23</v>
      </c>
      <c r="D16" s="37">
        <f>932.6</f>
        <v>932.6</v>
      </c>
      <c r="E16" s="1" t="s">
        <v>6</v>
      </c>
      <c r="F16" s="1">
        <v>4576.99</v>
      </c>
      <c r="G16" s="3">
        <f>D16*F16</f>
        <v>4268500.8739999998</v>
      </c>
      <c r="H16">
        <v>368</v>
      </c>
    </row>
    <row r="17" spans="1:16" ht="90">
      <c r="B17" s="1"/>
      <c r="C17" s="2" t="s">
        <v>25</v>
      </c>
      <c r="D17" s="17">
        <f>4431+994</f>
        <v>5425</v>
      </c>
      <c r="E17" s="1" t="s">
        <v>6</v>
      </c>
      <c r="F17" s="1">
        <v>5868.53</v>
      </c>
      <c r="G17" s="3">
        <f>D17*F17</f>
        <v>31836775.25</v>
      </c>
      <c r="N17" t="s">
        <v>35</v>
      </c>
      <c r="O17">
        <v>27</v>
      </c>
      <c r="P17" t="s">
        <v>36</v>
      </c>
    </row>
    <row r="18" spans="1:16" ht="90">
      <c r="B18" s="1"/>
      <c r="C18" s="2" t="s">
        <v>28</v>
      </c>
      <c r="D18" s="17">
        <v>355</v>
      </c>
      <c r="E18" s="1" t="s">
        <v>29</v>
      </c>
      <c r="F18" s="1">
        <v>75718.77</v>
      </c>
      <c r="G18" s="3">
        <f>D18*F18</f>
        <v>26880163.350000001</v>
      </c>
      <c r="H18" s="20"/>
    </row>
    <row r="19" spans="1:16" ht="90">
      <c r="B19" s="1"/>
      <c r="C19" s="2" t="s">
        <v>33</v>
      </c>
      <c r="D19" s="3"/>
      <c r="E19" s="1"/>
      <c r="F19" s="1"/>
      <c r="G19" s="3"/>
    </row>
    <row r="20" spans="1:16">
      <c r="B20" s="1"/>
      <c r="C20" s="2" t="s">
        <v>34</v>
      </c>
      <c r="D20" s="3"/>
      <c r="E20" s="1" t="s">
        <v>6</v>
      </c>
      <c r="F20" s="1">
        <v>6468</v>
      </c>
      <c r="G20" s="3">
        <f>D20*F20</f>
        <v>0</v>
      </c>
    </row>
    <row r="21" spans="1:16" ht="89.25">
      <c r="B21" s="1"/>
      <c r="C21" s="27" t="s">
        <v>51</v>
      </c>
      <c r="D21" s="3"/>
      <c r="E21" s="1"/>
      <c r="F21" s="1"/>
      <c r="G21" s="3"/>
    </row>
    <row r="22" spans="1:16">
      <c r="B22" s="1"/>
      <c r="C22" s="27" t="s">
        <v>52</v>
      </c>
      <c r="D22" s="3">
        <v>409</v>
      </c>
      <c r="E22" s="1" t="s">
        <v>6</v>
      </c>
      <c r="F22" s="28">
        <v>7285.8483949228903</v>
      </c>
      <c r="G22" s="3">
        <f>D22*F22</f>
        <v>2979911.9935234622</v>
      </c>
      <c r="H22">
        <v>409</v>
      </c>
    </row>
    <row r="23" spans="1:16">
      <c r="A23" t="s">
        <v>48</v>
      </c>
      <c r="B23" s="6"/>
      <c r="C23" s="5" t="s">
        <v>26</v>
      </c>
      <c r="D23" s="3"/>
      <c r="E23" s="1"/>
      <c r="F23" s="1"/>
      <c r="G23" s="3"/>
    </row>
    <row r="24" spans="1:16" ht="75">
      <c r="B24" s="6">
        <v>5</v>
      </c>
      <c r="C24" s="2" t="s">
        <v>13</v>
      </c>
      <c r="D24" s="38"/>
      <c r="E24" s="1"/>
      <c r="F24" s="1"/>
      <c r="G24" s="1"/>
    </row>
    <row r="25" spans="1:16" ht="30">
      <c r="B25" s="1"/>
      <c r="C25" s="2" t="s">
        <v>11</v>
      </c>
      <c r="D25" s="36">
        <f>7859+2000</f>
        <v>9859</v>
      </c>
      <c r="E25" s="1" t="s">
        <v>6</v>
      </c>
      <c r="F25" s="1">
        <v>112.79</v>
      </c>
      <c r="G25" s="3">
        <f>D25*F25</f>
        <v>1111996.6100000001</v>
      </c>
      <c r="H25">
        <v>2000</v>
      </c>
    </row>
    <row r="26" spans="1:16" ht="90">
      <c r="B26" s="1"/>
      <c r="C26" s="2" t="s">
        <v>23</v>
      </c>
      <c r="D26" s="36">
        <f>519+187+131</f>
        <v>837</v>
      </c>
      <c r="E26" s="1" t="s">
        <v>6</v>
      </c>
      <c r="F26" s="1">
        <v>4576.99</v>
      </c>
      <c r="G26" s="3">
        <f>D26*F26</f>
        <v>3830940.63</v>
      </c>
    </row>
    <row r="27" spans="1:16" ht="105">
      <c r="B27" s="1"/>
      <c r="C27" s="2" t="s">
        <v>40</v>
      </c>
      <c r="D27" s="36">
        <f>2944+2189+1562</f>
        <v>6695</v>
      </c>
      <c r="E27" s="1" t="s">
        <v>6</v>
      </c>
      <c r="F27" s="1">
        <v>5868.53</v>
      </c>
      <c r="G27" s="3">
        <f>D27*F27</f>
        <v>39289808.350000001</v>
      </c>
      <c r="H27">
        <v>1562</v>
      </c>
    </row>
    <row r="28" spans="1:16" ht="105">
      <c r="B28" s="1"/>
      <c r="C28" s="2" t="s">
        <v>41</v>
      </c>
      <c r="D28" s="36">
        <f>1384+156</f>
        <v>1540</v>
      </c>
      <c r="E28" s="1" t="s">
        <v>6</v>
      </c>
      <c r="F28" s="1">
        <v>6025.2</v>
      </c>
      <c r="G28" s="3">
        <f>D28*F28</f>
        <v>9278808</v>
      </c>
      <c r="H28">
        <v>156</v>
      </c>
    </row>
    <row r="29" spans="1:16" ht="90">
      <c r="B29" s="1"/>
      <c r="C29" s="2" t="s">
        <v>28</v>
      </c>
      <c r="D29" s="17">
        <v>475</v>
      </c>
      <c r="E29" s="1" t="s">
        <v>29</v>
      </c>
      <c r="F29" s="1">
        <v>75718.77</v>
      </c>
      <c r="G29" s="3">
        <f>D29*F29</f>
        <v>35966415.75</v>
      </c>
      <c r="H29" s="20"/>
    </row>
    <row r="30" spans="1:16">
      <c r="A30" t="s">
        <v>50</v>
      </c>
      <c r="B30" s="6"/>
      <c r="C30" s="5" t="s">
        <v>43</v>
      </c>
      <c r="D30" s="36"/>
      <c r="E30" s="1"/>
      <c r="F30" s="1"/>
      <c r="G30" s="3"/>
    </row>
    <row r="31" spans="1:16" ht="75">
      <c r="B31" s="6">
        <v>5</v>
      </c>
      <c r="C31" s="2" t="s">
        <v>13</v>
      </c>
      <c r="D31" s="38"/>
      <c r="E31" s="1"/>
      <c r="F31" s="1"/>
      <c r="G31" s="1"/>
    </row>
    <row r="32" spans="1:16" ht="30">
      <c r="B32" s="1"/>
      <c r="C32" s="2" t="s">
        <v>11</v>
      </c>
      <c r="D32" s="36">
        <f>1833+1000</f>
        <v>2833</v>
      </c>
      <c r="E32" s="1" t="s">
        <v>6</v>
      </c>
      <c r="F32" s="1">
        <v>22751</v>
      </c>
      <c r="G32" s="3">
        <f>D32*F32</f>
        <v>64453583</v>
      </c>
    </row>
    <row r="33" spans="2:8" ht="90">
      <c r="B33" s="1"/>
      <c r="C33" s="2" t="s">
        <v>23</v>
      </c>
      <c r="D33" s="36">
        <f>91.5+197</f>
        <v>288.5</v>
      </c>
      <c r="E33" s="1" t="s">
        <v>6</v>
      </c>
      <c r="F33" s="1">
        <v>1076</v>
      </c>
      <c r="G33" s="3">
        <f>D33*F33</f>
        <v>310426</v>
      </c>
      <c r="H33">
        <v>197</v>
      </c>
    </row>
    <row r="34" spans="2:8" ht="105">
      <c r="B34" s="1"/>
      <c r="C34" s="2" t="s">
        <v>40</v>
      </c>
      <c r="D34" s="36">
        <f>48+1690</f>
        <v>1738</v>
      </c>
      <c r="E34" s="1" t="s">
        <v>6</v>
      </c>
      <c r="F34" s="1">
        <v>3131</v>
      </c>
      <c r="G34" s="3">
        <f>D34*F34</f>
        <v>5441678</v>
      </c>
      <c r="H34">
        <v>1690</v>
      </c>
    </row>
    <row r="35" spans="2:8" ht="105">
      <c r="B35" s="1"/>
      <c r="C35" s="2" t="s">
        <v>41</v>
      </c>
      <c r="D35" s="36">
        <f>54+473</f>
        <v>527</v>
      </c>
      <c r="E35" s="1" t="s">
        <v>6</v>
      </c>
      <c r="F35" s="1">
        <v>5985</v>
      </c>
      <c r="G35" s="3">
        <f>D35*F35</f>
        <v>3154095</v>
      </c>
      <c r="H35">
        <v>473</v>
      </c>
    </row>
    <row r="36" spans="2:8" ht="90">
      <c r="B36" s="1"/>
      <c r="C36" s="2" t="s">
        <v>28</v>
      </c>
      <c r="D36" s="17">
        <v>18.29</v>
      </c>
      <c r="E36" s="1" t="s">
        <v>29</v>
      </c>
      <c r="F36" s="1">
        <f>F29</f>
        <v>75718.77</v>
      </c>
      <c r="G36" s="3">
        <f>D36*F36</f>
        <v>1384896.3033</v>
      </c>
      <c r="H36" s="20"/>
    </row>
    <row r="37" spans="2:8" ht="105">
      <c r="B37" s="1"/>
      <c r="C37" s="2" t="s">
        <v>44</v>
      </c>
      <c r="D37" s="17"/>
      <c r="E37" s="1"/>
      <c r="F37" s="1"/>
      <c r="G37" s="3"/>
      <c r="H37" s="20"/>
    </row>
    <row r="38" spans="2:8" ht="63.75">
      <c r="B38" s="29" t="s">
        <v>53</v>
      </c>
      <c r="C38" s="30" t="s">
        <v>54</v>
      </c>
      <c r="D38" s="21"/>
      <c r="E38" s="22"/>
      <c r="F38" s="22"/>
      <c r="G38" s="23"/>
      <c r="H38" s="20"/>
    </row>
    <row r="39" spans="2:8" ht="30.75" customHeight="1">
      <c r="B39" s="29"/>
      <c r="C39" s="31" t="s">
        <v>55</v>
      </c>
      <c r="D39" s="36">
        <v>1100</v>
      </c>
      <c r="E39" s="22" t="s">
        <v>58</v>
      </c>
      <c r="F39" s="33">
        <v>96.906337141238524</v>
      </c>
      <c r="G39" s="23">
        <f>D39*F39</f>
        <v>106596.97085536238</v>
      </c>
      <c r="H39" s="20"/>
    </row>
    <row r="40" spans="2:8" ht="30.75" customHeight="1">
      <c r="B40" s="29"/>
      <c r="C40" s="32" t="s">
        <v>56</v>
      </c>
      <c r="D40" s="39">
        <v>60</v>
      </c>
      <c r="E40" s="22" t="s">
        <v>58</v>
      </c>
      <c r="F40" s="33">
        <v>4576.9924799748396</v>
      </c>
      <c r="G40" s="23">
        <f>D40*F40</f>
        <v>274619.54879849037</v>
      </c>
      <c r="H40" s="20"/>
    </row>
    <row r="41" spans="2:8" ht="30.75" customHeight="1">
      <c r="B41" s="29"/>
      <c r="C41" s="34" t="s">
        <v>57</v>
      </c>
      <c r="D41" s="39">
        <v>249</v>
      </c>
      <c r="E41" s="22" t="s">
        <v>58</v>
      </c>
      <c r="F41" s="33">
        <v>5868.5286067881307</v>
      </c>
      <c r="G41" s="23">
        <f>D41*F41</f>
        <v>1461263.6230902446</v>
      </c>
      <c r="H41" s="20"/>
    </row>
    <row r="42" spans="2:8">
      <c r="E42" s="13">
        <f>G42/G43</f>
        <v>8.1757060179797711E-2</v>
      </c>
      <c r="F42" s="9"/>
      <c r="G42" s="8">
        <f>SUM(G5:G41)</f>
        <v>570018399.2795676</v>
      </c>
    </row>
    <row r="43" spans="2:8">
      <c r="E43" s="5">
        <v>100</v>
      </c>
      <c r="F43" s="5"/>
      <c r="G43" s="10">
        <v>6972100000</v>
      </c>
    </row>
  </sheetData>
  <mergeCells count="1">
    <mergeCell ref="B3:G3"/>
  </mergeCells>
  <pageMargins left="0.7" right="0.7" top="0.75" bottom="0.75" header="0.3" footer="0.3"/>
  <pageSetup scale="49" orientation="portrait" r:id="rId1"/>
</worksheet>
</file>

<file path=xl/worksheets/sheet16.xml><?xml version="1.0" encoding="utf-8"?>
<worksheet xmlns="http://schemas.openxmlformats.org/spreadsheetml/2006/main" xmlns:r="http://schemas.openxmlformats.org/officeDocument/2006/relationships">
  <sheetPr>
    <tabColor rgb="FF00B050"/>
  </sheetPr>
  <dimension ref="A1:L63"/>
  <sheetViews>
    <sheetView view="pageBreakPreview" zoomScale="90" zoomScaleSheetLayoutView="90" workbookViewId="0">
      <selection activeCell="B1" sqref="B1:G1"/>
    </sheetView>
  </sheetViews>
  <sheetFormatPr defaultRowHeight="15"/>
  <cols>
    <col min="1" max="1" width="14.7109375" bestFit="1" customWidth="1"/>
    <col min="2" max="2" width="9.42578125" bestFit="1" customWidth="1"/>
    <col min="3" max="3" width="66.85546875" customWidth="1"/>
    <col min="4" max="4" width="12.28515625" customWidth="1"/>
    <col min="5" max="5" width="9.28515625" bestFit="1" customWidth="1"/>
    <col min="6" max="6" width="11.7109375" bestFit="1" customWidth="1"/>
    <col min="7" max="7" width="20.42578125" bestFit="1" customWidth="1"/>
    <col min="8" max="8" width="11.42578125" hidden="1" customWidth="1"/>
    <col min="9" max="9" width="10.7109375" bestFit="1" customWidth="1"/>
    <col min="10" max="10" width="9.28515625" bestFit="1" customWidth="1"/>
    <col min="11" max="11" width="10.7109375" bestFit="1" customWidth="1"/>
    <col min="12" max="13" width="9.28515625" bestFit="1" customWidth="1"/>
  </cols>
  <sheetData>
    <row r="1" spans="2:11" ht="28.5" customHeight="1">
      <c r="B1" s="378" t="s">
        <v>99</v>
      </c>
      <c r="C1" s="379"/>
      <c r="D1" s="379"/>
      <c r="E1" s="379"/>
      <c r="F1" s="379"/>
      <c r="G1" s="380"/>
    </row>
    <row r="2" spans="2:11" ht="24.75" customHeight="1">
      <c r="B2" s="45" t="s">
        <v>14</v>
      </c>
      <c r="C2" s="45" t="s">
        <v>12</v>
      </c>
      <c r="D2" s="45" t="s">
        <v>1</v>
      </c>
      <c r="E2" s="45" t="s">
        <v>2</v>
      </c>
      <c r="F2" s="45" t="s">
        <v>16</v>
      </c>
      <c r="G2" s="45" t="s">
        <v>3</v>
      </c>
    </row>
    <row r="3" spans="2:11" ht="19.5" customHeight="1">
      <c r="B3" s="7"/>
      <c r="C3" s="46" t="s">
        <v>67</v>
      </c>
      <c r="D3" s="6"/>
      <c r="E3" s="6"/>
      <c r="F3" s="6"/>
      <c r="G3" s="6"/>
    </row>
    <row r="4" spans="2:11" ht="30">
      <c r="B4" s="6">
        <v>1</v>
      </c>
      <c r="C4" s="2" t="s">
        <v>0</v>
      </c>
      <c r="D4" s="1">
        <f>52.5+6.13+30.28+2.94+1.26+3.78+3.26+1.48+7.21+1.28+0.25+2+3+25</f>
        <v>140.37</v>
      </c>
      <c r="E4" s="1" t="s">
        <v>4</v>
      </c>
      <c r="F4" s="51">
        <v>30811.3</v>
      </c>
      <c r="G4" s="44">
        <f>D4*F4</f>
        <v>4324982.1809999999</v>
      </c>
    </row>
    <row r="5" spans="2:11" hidden="1">
      <c r="B5" s="6"/>
      <c r="C5" s="40" t="s">
        <v>60</v>
      </c>
      <c r="D5" s="1"/>
      <c r="E5" s="52" t="s">
        <v>61</v>
      </c>
      <c r="F5" s="28">
        <v>412.23394137652696</v>
      </c>
      <c r="G5" s="44">
        <f t="shared" ref="G5:G8" si="0">D5*F5</f>
        <v>0</v>
      </c>
    </row>
    <row r="6" spans="2:11" hidden="1">
      <c r="B6" s="6"/>
      <c r="C6" s="40" t="s">
        <v>62</v>
      </c>
      <c r="D6" s="1"/>
      <c r="E6" s="52" t="s">
        <v>61</v>
      </c>
      <c r="F6" s="28">
        <v>599.22665705247732</v>
      </c>
      <c r="G6" s="44">
        <f t="shared" si="0"/>
        <v>0</v>
      </c>
    </row>
    <row r="7" spans="2:11" hidden="1">
      <c r="B7" s="6"/>
      <c r="C7" s="40" t="s">
        <v>63</v>
      </c>
      <c r="D7" s="1"/>
      <c r="E7" s="52" t="s">
        <v>61</v>
      </c>
      <c r="F7" s="28">
        <v>1213.752718114805</v>
      </c>
      <c r="G7" s="44">
        <f t="shared" si="0"/>
        <v>0</v>
      </c>
    </row>
    <row r="8" spans="2:11" hidden="1">
      <c r="B8" s="6"/>
      <c r="C8" s="42" t="s">
        <v>64</v>
      </c>
      <c r="D8" s="1"/>
      <c r="E8" s="53" t="s">
        <v>61</v>
      </c>
      <c r="F8" s="28">
        <v>2395.2066944310372</v>
      </c>
      <c r="G8" s="44">
        <f t="shared" si="0"/>
        <v>0</v>
      </c>
    </row>
    <row r="9" spans="2:11" ht="75">
      <c r="B9" s="6">
        <v>2</v>
      </c>
      <c r="C9" s="2" t="s">
        <v>7</v>
      </c>
      <c r="D9" s="1"/>
      <c r="E9" s="1"/>
      <c r="F9" s="1"/>
      <c r="G9" s="44"/>
    </row>
    <row r="10" spans="2:11">
      <c r="B10" s="6"/>
      <c r="C10" s="1" t="s">
        <v>5</v>
      </c>
      <c r="D10" s="36">
        <f>3885+1225+600+7917+10512+9445+14016+11518+10045+12500+13003+4500+10936+35000+87123+65517+96831+72396</f>
        <v>466969</v>
      </c>
      <c r="E10" s="1" t="s">
        <v>6</v>
      </c>
      <c r="F10" s="1">
        <v>90.23</v>
      </c>
      <c r="G10" s="44">
        <f>D10*F10</f>
        <v>42134612.870000005</v>
      </c>
      <c r="H10" s="61"/>
      <c r="I10" s="18"/>
    </row>
    <row r="11" spans="2:11" ht="77.25" customHeight="1">
      <c r="B11" s="6"/>
      <c r="C11" s="64" t="s">
        <v>97</v>
      </c>
      <c r="D11" s="36">
        <f>3000+250+525+73.5+9150+9463+916+23311+24070</f>
        <v>70758.5</v>
      </c>
      <c r="E11" s="1" t="s">
        <v>6</v>
      </c>
      <c r="F11" s="1">
        <v>308.11</v>
      </c>
      <c r="G11" s="44">
        <f>D11*F11</f>
        <v>21801401.435000002</v>
      </c>
      <c r="H11" s="60"/>
      <c r="I11" s="18"/>
    </row>
    <row r="12" spans="2:11" ht="30">
      <c r="B12" s="6">
        <v>3</v>
      </c>
      <c r="C12" s="2" t="s">
        <v>9</v>
      </c>
      <c r="D12" s="44"/>
      <c r="E12" s="1"/>
      <c r="F12" s="1"/>
      <c r="G12" s="44"/>
    </row>
    <row r="13" spans="2:11" ht="30" hidden="1">
      <c r="B13" s="6"/>
      <c r="C13" s="4" t="s">
        <v>8</v>
      </c>
      <c r="D13" s="44"/>
      <c r="E13" s="1" t="s">
        <v>6</v>
      </c>
      <c r="F13" s="1"/>
      <c r="G13" s="44"/>
    </row>
    <row r="14" spans="2:11" ht="18.75" customHeight="1">
      <c r="B14" s="6"/>
      <c r="C14" s="1" t="s">
        <v>10</v>
      </c>
      <c r="D14" s="36">
        <f>3885+1150+600+7143+9574+11077+12602+9981+10000+12000+14196+5500+9293+19600+104000+37691+75764+10000+87290</f>
        <v>441346</v>
      </c>
      <c r="E14" s="1" t="s">
        <v>6</v>
      </c>
      <c r="F14" s="1">
        <v>96.91</v>
      </c>
      <c r="G14" s="44">
        <f>D14*F14</f>
        <v>42770840.859999999</v>
      </c>
      <c r="H14" s="60"/>
      <c r="I14" s="18"/>
      <c r="J14" s="18"/>
      <c r="K14" s="62"/>
    </row>
    <row r="15" spans="2:11" ht="18.75" customHeight="1">
      <c r="B15" s="6"/>
      <c r="C15" s="1" t="s">
        <v>38</v>
      </c>
      <c r="D15" s="36">
        <f>10240+23723+12000+108634+35000+254753+215397+196660+145000+191582</f>
        <v>1192989</v>
      </c>
      <c r="E15" s="1" t="s">
        <v>6</v>
      </c>
      <c r="F15" s="1">
        <v>249.23</v>
      </c>
      <c r="G15" s="44">
        <f>D15*F15</f>
        <v>297328648.46999997</v>
      </c>
      <c r="H15" s="61"/>
      <c r="I15" s="18"/>
      <c r="J15" s="18"/>
      <c r="K15" s="62"/>
    </row>
    <row r="16" spans="2:11" ht="25.5">
      <c r="B16" s="41">
        <v>4</v>
      </c>
      <c r="C16" s="42" t="s">
        <v>65</v>
      </c>
      <c r="D16" s="36"/>
      <c r="E16" s="1"/>
      <c r="F16" s="1"/>
      <c r="G16" s="44"/>
      <c r="H16" s="19"/>
      <c r="I16" s="18"/>
      <c r="J16" s="18"/>
    </row>
    <row r="17" spans="1:12" ht="27" customHeight="1">
      <c r="B17" s="41"/>
      <c r="C17" s="42" t="s">
        <v>94</v>
      </c>
      <c r="D17" s="36">
        <v>104340</v>
      </c>
      <c r="E17" s="1" t="s">
        <v>6</v>
      </c>
      <c r="F17" s="54">
        <v>249.2337246708139</v>
      </c>
      <c r="G17" s="44">
        <f>D17*F17</f>
        <v>26005046.832152721</v>
      </c>
      <c r="H17" s="19"/>
      <c r="I17" s="18"/>
      <c r="J17" s="18"/>
    </row>
    <row r="18" spans="1:12" ht="25.5">
      <c r="B18" s="6">
        <v>5</v>
      </c>
      <c r="C18" s="40" t="s">
        <v>66</v>
      </c>
      <c r="D18" s="36">
        <v>20879</v>
      </c>
      <c r="E18" s="1" t="s">
        <v>6</v>
      </c>
      <c r="F18" s="1">
        <v>1078.429300650386</v>
      </c>
      <c r="G18" s="44">
        <f>F18*D18</f>
        <v>22516525.368279409</v>
      </c>
      <c r="H18" s="61"/>
      <c r="I18" s="18"/>
      <c r="J18" s="18"/>
    </row>
    <row r="19" spans="1:12" ht="15" customHeight="1">
      <c r="A19" s="56" t="s">
        <v>49</v>
      </c>
      <c r="B19" s="6"/>
      <c r="C19" s="47" t="s">
        <v>22</v>
      </c>
      <c r="D19" s="44"/>
      <c r="E19" s="1"/>
      <c r="F19" s="1"/>
      <c r="G19" s="44"/>
    </row>
    <row r="20" spans="1:12" ht="30">
      <c r="B20" s="6">
        <v>6</v>
      </c>
      <c r="C20" s="43" t="s">
        <v>13</v>
      </c>
      <c r="D20" s="1"/>
      <c r="E20" s="1"/>
      <c r="F20" s="1"/>
      <c r="G20" s="1"/>
    </row>
    <row r="21" spans="1:12">
      <c r="B21" s="1"/>
      <c r="C21" s="2" t="s">
        <v>11</v>
      </c>
      <c r="D21" s="17">
        <f>4665+2000+5000</f>
        <v>11665</v>
      </c>
      <c r="E21" s="1" t="s">
        <v>6</v>
      </c>
      <c r="F21" s="1">
        <v>96.91</v>
      </c>
      <c r="G21" s="44">
        <f>D21*F21</f>
        <v>1130455.1499999999</v>
      </c>
      <c r="H21" s="60"/>
      <c r="I21" s="18"/>
    </row>
    <row r="22" spans="1:12" ht="45">
      <c r="B22" s="1"/>
      <c r="C22" s="2" t="s">
        <v>68</v>
      </c>
      <c r="D22" s="37">
        <f>932.6+52</f>
        <v>984.6</v>
      </c>
      <c r="E22" s="1" t="s">
        <v>6</v>
      </c>
      <c r="F22" s="1">
        <v>4576.99</v>
      </c>
      <c r="G22" s="44">
        <f>D22*F22</f>
        <v>4506504.3540000003</v>
      </c>
      <c r="H22" s="60"/>
    </row>
    <row r="23" spans="1:12" ht="45">
      <c r="B23" s="1"/>
      <c r="C23" s="2" t="s">
        <v>73</v>
      </c>
      <c r="D23" s="17">
        <f>4431+994+941</f>
        <v>6366</v>
      </c>
      <c r="E23" s="1" t="s">
        <v>6</v>
      </c>
      <c r="F23" s="1">
        <v>5868.53</v>
      </c>
      <c r="G23" s="44">
        <f>D23*F23</f>
        <v>37359061.979999997</v>
      </c>
      <c r="H23" s="60"/>
    </row>
    <row r="24" spans="1:12" ht="45">
      <c r="B24" s="1"/>
      <c r="C24" s="2" t="s">
        <v>74</v>
      </c>
      <c r="D24" s="17">
        <f>355+200</f>
        <v>555</v>
      </c>
      <c r="E24" s="1" t="s">
        <v>29</v>
      </c>
      <c r="F24" s="1">
        <v>75718.77</v>
      </c>
      <c r="G24" s="44">
        <f>D24*F24</f>
        <v>42023917.350000001</v>
      </c>
      <c r="H24" s="20"/>
    </row>
    <row r="25" spans="1:12" ht="38.25">
      <c r="B25" s="1"/>
      <c r="C25" s="27" t="s">
        <v>71</v>
      </c>
      <c r="D25" s="44"/>
      <c r="E25" s="1"/>
      <c r="F25" s="1"/>
      <c r="G25" s="44"/>
    </row>
    <row r="26" spans="1:12">
      <c r="B26" s="1"/>
      <c r="C26" s="27" t="s">
        <v>70</v>
      </c>
      <c r="D26" s="44">
        <f>409+989</f>
        <v>1398</v>
      </c>
      <c r="E26" s="1" t="s">
        <v>6</v>
      </c>
      <c r="F26" s="28">
        <v>7285.8483949228903</v>
      </c>
      <c r="G26" s="44">
        <f>D26*F26</f>
        <v>10185616.056102201</v>
      </c>
      <c r="H26" s="60"/>
    </row>
    <row r="27" spans="1:12" ht="18.75" customHeight="1">
      <c r="A27" s="381" t="s">
        <v>93</v>
      </c>
      <c r="B27" s="6"/>
      <c r="C27" s="48" t="s">
        <v>26</v>
      </c>
      <c r="D27" s="44"/>
      <c r="E27" s="1"/>
      <c r="F27" s="1"/>
      <c r="G27" s="44"/>
    </row>
    <row r="28" spans="1:12" ht="30">
      <c r="A28" s="381"/>
      <c r="B28" s="6">
        <v>7</v>
      </c>
      <c r="C28" s="2" t="s">
        <v>13</v>
      </c>
      <c r="D28" s="38"/>
      <c r="E28" s="1"/>
      <c r="F28" s="1"/>
      <c r="G28" s="1"/>
    </row>
    <row r="29" spans="1:12" ht="15" customHeight="1">
      <c r="A29" s="57"/>
      <c r="B29" s="1"/>
      <c r="C29" s="2" t="s">
        <v>11</v>
      </c>
      <c r="D29" s="36">
        <f>7859+2000+5000</f>
        <v>14859</v>
      </c>
      <c r="E29" s="1" t="s">
        <v>6</v>
      </c>
      <c r="F29" s="1">
        <v>112.79</v>
      </c>
      <c r="G29" s="44">
        <f>D29*F29</f>
        <v>1675946.61</v>
      </c>
      <c r="H29" s="60"/>
      <c r="L29" s="18"/>
    </row>
    <row r="30" spans="1:12" ht="45">
      <c r="B30" s="1"/>
      <c r="C30" s="2" t="s">
        <v>75</v>
      </c>
      <c r="D30" s="36">
        <f>519+187+131+130</f>
        <v>967</v>
      </c>
      <c r="E30" s="1" t="s">
        <v>6</v>
      </c>
      <c r="F30" s="1">
        <v>4576.99</v>
      </c>
      <c r="G30" s="44">
        <f>D30*F30</f>
        <v>4425949.33</v>
      </c>
      <c r="H30" s="60"/>
    </row>
    <row r="31" spans="1:12" ht="45">
      <c r="B31" s="1"/>
      <c r="C31" s="2" t="s">
        <v>76</v>
      </c>
      <c r="D31" s="36"/>
      <c r="E31" s="1"/>
      <c r="F31" s="1"/>
      <c r="G31" s="44"/>
    </row>
    <row r="32" spans="1:12">
      <c r="B32" s="1"/>
      <c r="C32" s="2" t="s">
        <v>77</v>
      </c>
      <c r="D32" s="36">
        <f>2944+2189+1562</f>
        <v>6695</v>
      </c>
      <c r="E32" s="1" t="s">
        <v>6</v>
      </c>
      <c r="F32" s="1">
        <v>5868.53</v>
      </c>
      <c r="G32" s="44">
        <f>D32*F32</f>
        <v>39289808.350000001</v>
      </c>
    </row>
    <row r="33" spans="1:8">
      <c r="B33" s="1"/>
      <c r="C33" s="2" t="s">
        <v>78</v>
      </c>
      <c r="D33" s="36">
        <f>1384+156+217</f>
        <v>1757</v>
      </c>
      <c r="E33" s="1" t="s">
        <v>6</v>
      </c>
      <c r="F33" s="1">
        <v>6025.2</v>
      </c>
      <c r="G33" s="44">
        <f>D33*F33</f>
        <v>10586276.4</v>
      </c>
      <c r="H33" s="60"/>
    </row>
    <row r="34" spans="1:8" ht="45">
      <c r="B34" s="1"/>
      <c r="C34" s="2" t="s">
        <v>79</v>
      </c>
      <c r="D34" s="36"/>
      <c r="E34" s="1"/>
      <c r="F34" s="1"/>
      <c r="G34" s="44"/>
      <c r="H34" s="60"/>
    </row>
    <row r="35" spans="1:8">
      <c r="B35" s="1"/>
      <c r="C35" s="2" t="s">
        <v>80</v>
      </c>
      <c r="D35" s="36">
        <v>335</v>
      </c>
      <c r="E35" s="1" t="s">
        <v>6</v>
      </c>
      <c r="F35" s="54">
        <v>6577.18850085551</v>
      </c>
      <c r="G35" s="44">
        <f>F35*D35</f>
        <v>2203358.1477865959</v>
      </c>
      <c r="H35" s="60"/>
    </row>
    <row r="36" spans="1:8">
      <c r="B36" s="1"/>
      <c r="C36" s="2" t="s">
        <v>81</v>
      </c>
      <c r="D36" s="36">
        <f>133+21</f>
        <v>154</v>
      </c>
      <c r="E36" s="1" t="s">
        <v>6</v>
      </c>
      <c r="F36" s="54">
        <v>6733.8606354961657</v>
      </c>
      <c r="G36" s="44">
        <f>F36*D36</f>
        <v>1037014.5378664095</v>
      </c>
      <c r="H36" s="60"/>
    </row>
    <row r="37" spans="1:8" ht="45">
      <c r="B37" s="1"/>
      <c r="C37" s="2" t="s">
        <v>82</v>
      </c>
      <c r="D37" s="36"/>
      <c r="E37" s="1"/>
      <c r="F37" s="1"/>
      <c r="G37" s="44"/>
      <c r="H37" s="60"/>
    </row>
    <row r="38" spans="1:8" ht="19.5" customHeight="1">
      <c r="B38" s="1"/>
      <c r="C38" s="4" t="s">
        <v>83</v>
      </c>
      <c r="D38" s="36"/>
      <c r="E38" s="1" t="s">
        <v>6</v>
      </c>
      <c r="F38" s="54">
        <v>7285.8483949228903</v>
      </c>
      <c r="G38" s="44"/>
      <c r="H38" s="60"/>
    </row>
    <row r="39" spans="1:8" ht="19.5" customHeight="1">
      <c r="B39" s="1"/>
      <c r="C39" s="4" t="s">
        <v>84</v>
      </c>
      <c r="D39" s="36">
        <f>587+11</f>
        <v>598</v>
      </c>
      <c r="E39" s="1" t="s">
        <v>6</v>
      </c>
      <c r="F39" s="54">
        <v>7442.5205295635469</v>
      </c>
      <c r="G39" s="44">
        <f>F39*D39</f>
        <v>4450627.2766790008</v>
      </c>
      <c r="H39" s="60"/>
    </row>
    <row r="40" spans="1:8" ht="19.5" customHeight="1">
      <c r="B40" s="1"/>
      <c r="C40" s="4" t="s">
        <v>85</v>
      </c>
      <c r="D40" s="36">
        <v>144</v>
      </c>
      <c r="E40" s="1" t="s">
        <v>6</v>
      </c>
      <c r="F40" s="54">
        <v>14450.319994474561</v>
      </c>
      <c r="G40" s="44">
        <f>F40*D40</f>
        <v>2080846.0792043367</v>
      </c>
      <c r="H40" s="60"/>
    </row>
    <row r="41" spans="1:8" ht="30" customHeight="1">
      <c r="B41" s="1"/>
      <c r="C41" s="2" t="s">
        <v>96</v>
      </c>
      <c r="D41" s="17">
        <f>475+200</f>
        <v>675</v>
      </c>
      <c r="E41" s="1" t="s">
        <v>29</v>
      </c>
      <c r="F41" s="1">
        <v>75718.77</v>
      </c>
      <c r="G41" s="44">
        <f>D41*F41</f>
        <v>51110169.75</v>
      </c>
      <c r="H41" s="20"/>
    </row>
    <row r="42" spans="1:8" ht="21.75" customHeight="1">
      <c r="A42" s="58" t="s">
        <v>50</v>
      </c>
      <c r="B42" s="6"/>
      <c r="C42" s="49" t="s">
        <v>43</v>
      </c>
      <c r="D42" s="36"/>
      <c r="E42" s="1"/>
      <c r="F42" s="1"/>
      <c r="G42" s="44"/>
    </row>
    <row r="43" spans="1:8" ht="30">
      <c r="A43" s="58"/>
      <c r="B43" s="6">
        <v>8</v>
      </c>
      <c r="C43" s="2" t="s">
        <v>13</v>
      </c>
      <c r="D43" s="38"/>
      <c r="E43" s="1"/>
      <c r="F43" s="1"/>
      <c r="G43" s="1"/>
    </row>
    <row r="44" spans="1:8" ht="21" customHeight="1">
      <c r="B44" s="1"/>
      <c r="C44" s="2" t="s">
        <v>11</v>
      </c>
      <c r="D44" s="36">
        <f>1833+1000+6000</f>
        <v>8833</v>
      </c>
      <c r="E44" s="1" t="s">
        <v>6</v>
      </c>
      <c r="F44" s="1">
        <v>22751</v>
      </c>
      <c r="G44" s="44">
        <f>D44*F44</f>
        <v>200959583</v>
      </c>
      <c r="H44" s="60"/>
    </row>
    <row r="45" spans="1:8" ht="45">
      <c r="B45" s="1"/>
      <c r="C45" s="2" t="s">
        <v>75</v>
      </c>
      <c r="D45" s="36">
        <f>91.5+197+50</f>
        <v>338.5</v>
      </c>
      <c r="E45" s="1" t="s">
        <v>6</v>
      </c>
      <c r="F45" s="1">
        <v>1076</v>
      </c>
      <c r="G45" s="44">
        <f>D45*F45</f>
        <v>364226</v>
      </c>
      <c r="H45" s="60"/>
    </row>
    <row r="46" spans="1:8" ht="45">
      <c r="B46" s="1"/>
      <c r="C46" s="2" t="s">
        <v>76</v>
      </c>
      <c r="D46" s="36"/>
      <c r="E46" s="1"/>
      <c r="F46" s="1"/>
      <c r="G46" s="44"/>
      <c r="H46" s="60"/>
    </row>
    <row r="47" spans="1:8">
      <c r="B47" s="1"/>
      <c r="C47" s="2" t="s">
        <v>86</v>
      </c>
      <c r="D47" s="36">
        <f>48+1690</f>
        <v>1738</v>
      </c>
      <c r="E47" s="1" t="s">
        <v>6</v>
      </c>
      <c r="F47" s="1">
        <v>3131</v>
      </c>
      <c r="G47" s="44">
        <f>D47*F47</f>
        <v>5441678</v>
      </c>
      <c r="H47" s="60"/>
    </row>
    <row r="48" spans="1:8">
      <c r="B48" s="1"/>
      <c r="C48" s="2" t="s">
        <v>87</v>
      </c>
      <c r="D48" s="36">
        <f>527+220+16+38</f>
        <v>801</v>
      </c>
      <c r="E48" s="1" t="s">
        <v>6</v>
      </c>
      <c r="F48" s="1">
        <v>5985</v>
      </c>
      <c r="G48" s="44">
        <v>3154095</v>
      </c>
      <c r="H48" s="60"/>
    </row>
    <row r="49" spans="2:8" ht="45">
      <c r="B49" s="1"/>
      <c r="C49" s="2" t="s">
        <v>88</v>
      </c>
      <c r="D49" s="36"/>
      <c r="E49" s="1"/>
      <c r="F49" s="1"/>
      <c r="G49" s="44"/>
      <c r="H49" s="60"/>
    </row>
    <row r="50" spans="2:8">
      <c r="B50" s="1"/>
      <c r="C50" s="2" t="s">
        <v>89</v>
      </c>
      <c r="D50" s="36">
        <f>181+16</f>
        <v>197</v>
      </c>
      <c r="E50" s="1" t="s">
        <v>6</v>
      </c>
      <c r="F50" s="54">
        <v>6577.18850085551</v>
      </c>
      <c r="G50" s="44">
        <f>D50*F50</f>
        <v>1295706.1346685356</v>
      </c>
      <c r="H50" s="60"/>
    </row>
    <row r="51" spans="2:8">
      <c r="B51" s="1"/>
      <c r="C51" s="2" t="s">
        <v>90</v>
      </c>
      <c r="D51" s="36">
        <v>204</v>
      </c>
      <c r="E51" s="1" t="s">
        <v>6</v>
      </c>
      <c r="F51" s="54">
        <v>6733.8606354961657</v>
      </c>
      <c r="G51" s="44">
        <f>D51*F51</f>
        <v>1373707.5696412178</v>
      </c>
      <c r="H51" s="60"/>
    </row>
    <row r="52" spans="2:8" ht="45">
      <c r="B52" s="1"/>
      <c r="C52" s="2" t="s">
        <v>91</v>
      </c>
      <c r="D52" s="36"/>
      <c r="E52" s="1"/>
      <c r="F52" s="1"/>
      <c r="G52" s="44"/>
      <c r="H52" s="60"/>
    </row>
    <row r="53" spans="2:8">
      <c r="B53" s="1"/>
      <c r="C53" s="2" t="s">
        <v>83</v>
      </c>
      <c r="D53" s="36">
        <v>50</v>
      </c>
      <c r="E53" s="1" t="s">
        <v>6</v>
      </c>
      <c r="F53" s="54">
        <v>7285.8483949228903</v>
      </c>
      <c r="G53" s="44">
        <f>D53*F53</f>
        <v>364292.4197461445</v>
      </c>
      <c r="H53" s="60"/>
    </row>
    <row r="54" spans="2:8">
      <c r="B54" s="1"/>
      <c r="C54" s="2" t="s">
        <v>84</v>
      </c>
      <c r="D54" s="36">
        <v>285</v>
      </c>
      <c r="E54" s="1" t="s">
        <v>6</v>
      </c>
      <c r="F54" s="54">
        <v>7442.5205295635469</v>
      </c>
      <c r="G54" s="44">
        <f>D54*F54</f>
        <v>2121118.3509256109</v>
      </c>
      <c r="H54" s="60"/>
    </row>
    <row r="55" spans="2:8">
      <c r="B55" s="1"/>
      <c r="C55" s="40" t="s">
        <v>95</v>
      </c>
      <c r="D55" s="36">
        <v>39</v>
      </c>
      <c r="E55" s="1" t="s">
        <v>6</v>
      </c>
      <c r="F55" s="54">
        <v>14450.319994474561</v>
      </c>
      <c r="G55" s="44">
        <f>D55*F55</f>
        <v>563562.47978450789</v>
      </c>
      <c r="H55" s="60"/>
    </row>
    <row r="56" spans="2:8" ht="45">
      <c r="B56" s="1"/>
      <c r="C56" s="2" t="s">
        <v>28</v>
      </c>
      <c r="D56" s="17">
        <f>18.29+220</f>
        <v>238.29</v>
      </c>
      <c r="E56" s="1" t="s">
        <v>29</v>
      </c>
      <c r="F56" s="1">
        <f>F41</f>
        <v>75718.77</v>
      </c>
      <c r="G56" s="44">
        <f>D56*F56</f>
        <v>18043025.703299999</v>
      </c>
      <c r="H56" s="20"/>
    </row>
    <row r="57" spans="2:8" ht="45">
      <c r="B57" s="1"/>
      <c r="C57" s="2" t="s">
        <v>44</v>
      </c>
      <c r="D57" s="17"/>
      <c r="E57" s="1"/>
      <c r="F57" s="1"/>
      <c r="G57" s="44"/>
      <c r="H57" s="20"/>
    </row>
    <row r="58" spans="2:8" ht="45">
      <c r="B58" s="50">
        <v>9</v>
      </c>
      <c r="C58" s="2" t="s">
        <v>92</v>
      </c>
      <c r="D58" s="22"/>
      <c r="E58" s="22"/>
      <c r="F58" s="22"/>
      <c r="G58" s="55"/>
      <c r="H58" s="20"/>
    </row>
    <row r="59" spans="2:8">
      <c r="B59" s="29"/>
      <c r="C59" s="2" t="s">
        <v>55</v>
      </c>
      <c r="D59" s="36">
        <f>2200+1500</f>
        <v>3700</v>
      </c>
      <c r="E59" s="22" t="s">
        <v>58</v>
      </c>
      <c r="F59" s="33">
        <v>96.906337141238524</v>
      </c>
      <c r="G59" s="55">
        <f>D59*F59</f>
        <v>358553.44742258254</v>
      </c>
      <c r="H59" s="63"/>
    </row>
    <row r="60" spans="2:8">
      <c r="B60" s="29"/>
      <c r="C60" s="2" t="s">
        <v>56</v>
      </c>
      <c r="D60" s="39">
        <f>60+99</f>
        <v>159</v>
      </c>
      <c r="E60" s="22" t="s">
        <v>58</v>
      </c>
      <c r="F60" s="33">
        <v>4576.9924799748396</v>
      </c>
      <c r="G60" s="55">
        <f>D60*F60</f>
        <v>727741.8043159995</v>
      </c>
      <c r="H60" s="63"/>
    </row>
    <row r="61" spans="2:8">
      <c r="B61" s="29"/>
      <c r="C61" s="2" t="s">
        <v>57</v>
      </c>
      <c r="D61" s="39">
        <f>249+504+6</f>
        <v>759</v>
      </c>
      <c r="E61" s="22" t="s">
        <v>58</v>
      </c>
      <c r="F61" s="33">
        <v>5868.5286067881307</v>
      </c>
      <c r="G61" s="55">
        <f>D61*F61</f>
        <v>4454213.2125521908</v>
      </c>
      <c r="H61" s="63"/>
    </row>
    <row r="62" spans="2:8">
      <c r="E62" s="13">
        <f>G62/G63</f>
        <v>0.13025761427839927</v>
      </c>
      <c r="F62" s="9"/>
      <c r="G62" s="8">
        <f>SUM(G4:G61)</f>
        <v>908169112.51042747</v>
      </c>
    </row>
    <row r="63" spans="2:8">
      <c r="E63" s="5">
        <v>100</v>
      </c>
      <c r="F63" s="5"/>
      <c r="G63" s="10">
        <v>6972100000</v>
      </c>
    </row>
  </sheetData>
  <mergeCells count="2">
    <mergeCell ref="B1:G1"/>
    <mergeCell ref="A27:A28"/>
  </mergeCells>
  <printOptions horizontalCentered="1"/>
  <pageMargins left="0" right="0" top="0.39370078740157483" bottom="0" header="0.31496062992125984" footer="0.31496062992125984"/>
  <pageSetup scale="72" orientation="portrait" r:id="rId1"/>
  <rowBreaks count="1" manualBreakCount="1">
    <brk id="41" min="1" max="6" man="1"/>
  </rowBreaks>
</worksheet>
</file>

<file path=xl/worksheets/sheet17.xml><?xml version="1.0" encoding="utf-8"?>
<worksheet xmlns="http://schemas.openxmlformats.org/spreadsheetml/2006/main" xmlns:r="http://schemas.openxmlformats.org/officeDocument/2006/relationships">
  <dimension ref="A1:J64"/>
  <sheetViews>
    <sheetView view="pageBreakPreview" topLeftCell="A35" zoomScaleSheetLayoutView="100" workbookViewId="0">
      <selection activeCell="B1" sqref="B1:G1"/>
    </sheetView>
  </sheetViews>
  <sheetFormatPr defaultRowHeight="15"/>
  <cols>
    <col min="1" max="1" width="14.7109375" bestFit="1" customWidth="1"/>
    <col min="2" max="2" width="9.42578125" bestFit="1" customWidth="1"/>
    <col min="3" max="3" width="66.85546875" customWidth="1"/>
    <col min="4" max="4" width="12.28515625" customWidth="1"/>
    <col min="5" max="5" width="9.28515625" bestFit="1" customWidth="1"/>
    <col min="6" max="6" width="13.7109375" bestFit="1" customWidth="1"/>
    <col min="7" max="7" width="20.42578125" bestFit="1" customWidth="1"/>
    <col min="8" max="8" width="11.42578125" bestFit="1" customWidth="1"/>
    <col min="9" max="9" width="10.5703125" bestFit="1" customWidth="1"/>
    <col min="10" max="13" width="9.28515625" bestFit="1" customWidth="1"/>
  </cols>
  <sheetData>
    <row r="1" spans="2:10" ht="28.5" customHeight="1">
      <c r="B1" s="378" t="s">
        <v>59</v>
      </c>
      <c r="C1" s="379"/>
      <c r="D1" s="379"/>
      <c r="E1" s="379"/>
      <c r="F1" s="379"/>
      <c r="G1" s="380"/>
    </row>
    <row r="2" spans="2:10" ht="24.75" customHeight="1">
      <c r="B2" s="45" t="s">
        <v>14</v>
      </c>
      <c r="C2" s="45" t="s">
        <v>12</v>
      </c>
      <c r="D2" s="45" t="s">
        <v>1</v>
      </c>
      <c r="E2" s="45" t="s">
        <v>2</v>
      </c>
      <c r="F2" s="45" t="s">
        <v>16</v>
      </c>
      <c r="G2" s="45" t="s">
        <v>3</v>
      </c>
    </row>
    <row r="3" spans="2:10" ht="19.5" customHeight="1">
      <c r="B3" s="7"/>
      <c r="C3" s="46" t="s">
        <v>67</v>
      </c>
      <c r="D3" s="6"/>
      <c r="E3" s="6"/>
      <c r="F3" s="6"/>
      <c r="G3" s="6"/>
    </row>
    <row r="4" spans="2:10" ht="30">
      <c r="B4" s="6">
        <v>1</v>
      </c>
      <c r="C4" s="2" t="s">
        <v>0</v>
      </c>
      <c r="D4" s="1">
        <f>52.5+6.13+30.28+2.94+1.26+3.78+3.26+1.48+7.21+1.28+0.25+2</f>
        <v>112.37</v>
      </c>
      <c r="E4" s="1" t="s">
        <v>4</v>
      </c>
      <c r="F4" s="51">
        <v>30811.3</v>
      </c>
      <c r="G4" s="44">
        <f>D4*F4</f>
        <v>3462265.781</v>
      </c>
    </row>
    <row r="5" spans="2:10" hidden="1">
      <c r="B5" s="6"/>
      <c r="C5" s="40" t="s">
        <v>60</v>
      </c>
      <c r="D5" s="1"/>
      <c r="E5" s="52" t="s">
        <v>61</v>
      </c>
      <c r="F5" s="28">
        <v>412.23394137652696</v>
      </c>
      <c r="G5" s="44">
        <f t="shared" ref="G5:G8" si="0">D5*F5</f>
        <v>0</v>
      </c>
    </row>
    <row r="6" spans="2:10" hidden="1">
      <c r="B6" s="6"/>
      <c r="C6" s="40" t="s">
        <v>62</v>
      </c>
      <c r="D6" s="1"/>
      <c r="E6" s="52" t="s">
        <v>61</v>
      </c>
      <c r="F6" s="28">
        <v>599.22665705247732</v>
      </c>
      <c r="G6" s="44">
        <f t="shared" si="0"/>
        <v>0</v>
      </c>
    </row>
    <row r="7" spans="2:10" hidden="1">
      <c r="B7" s="6"/>
      <c r="C7" s="40" t="s">
        <v>63</v>
      </c>
      <c r="D7" s="1"/>
      <c r="E7" s="52" t="s">
        <v>61</v>
      </c>
      <c r="F7" s="28">
        <v>1213.752718114805</v>
      </c>
      <c r="G7" s="44">
        <f t="shared" si="0"/>
        <v>0</v>
      </c>
    </row>
    <row r="8" spans="2:10" hidden="1">
      <c r="B8" s="6"/>
      <c r="C8" s="42" t="s">
        <v>64</v>
      </c>
      <c r="D8" s="1"/>
      <c r="E8" s="53" t="s">
        <v>61</v>
      </c>
      <c r="F8" s="28">
        <v>2395.2066944310372</v>
      </c>
      <c r="G8" s="44">
        <f t="shared" si="0"/>
        <v>0</v>
      </c>
    </row>
    <row r="9" spans="2:10" ht="75">
      <c r="B9" s="6">
        <v>2</v>
      </c>
      <c r="C9" s="2" t="s">
        <v>7</v>
      </c>
      <c r="D9" s="1"/>
      <c r="E9" s="1"/>
      <c r="F9" s="1"/>
      <c r="G9" s="44"/>
    </row>
    <row r="10" spans="2:10">
      <c r="B10" s="6"/>
      <c r="C10" s="1" t="s">
        <v>5</v>
      </c>
      <c r="D10" s="36">
        <f>3885+1225+600+7917+10512+9445+14016+11518+10045+12500+13003+4500+10936+35000+87123+65517+96831</f>
        <v>394573</v>
      </c>
      <c r="E10" s="1" t="s">
        <v>6</v>
      </c>
      <c r="F10" s="1">
        <v>90.23</v>
      </c>
      <c r="G10" s="44">
        <f>D10*F10</f>
        <v>35602321.789999999</v>
      </c>
      <c r="H10" s="19"/>
      <c r="I10" s="18"/>
    </row>
    <row r="11" spans="2:10" ht="90">
      <c r="B11" s="6"/>
      <c r="C11" s="2" t="s">
        <v>31</v>
      </c>
      <c r="D11" s="36">
        <f>3000+250+525+73.5+9150+9463+916+23311</f>
        <v>46688.5</v>
      </c>
      <c r="E11" s="1" t="s">
        <v>6</v>
      </c>
      <c r="F11" s="1">
        <v>308.11</v>
      </c>
      <c r="G11" s="44">
        <f>D11*F11</f>
        <v>14385193.735000001</v>
      </c>
      <c r="I11" s="18"/>
    </row>
    <row r="12" spans="2:10" ht="30">
      <c r="B12" s="6">
        <v>3</v>
      </c>
      <c r="C12" s="2" t="s">
        <v>9</v>
      </c>
      <c r="D12" s="44"/>
      <c r="E12" s="1"/>
      <c r="F12" s="1"/>
      <c r="G12" s="44"/>
    </row>
    <row r="13" spans="2:10" ht="30" hidden="1">
      <c r="B13" s="6"/>
      <c r="C13" s="4" t="s">
        <v>8</v>
      </c>
      <c r="D13" s="44"/>
      <c r="E13" s="1" t="s">
        <v>6</v>
      </c>
      <c r="F13" s="1"/>
      <c r="G13" s="44"/>
    </row>
    <row r="14" spans="2:10" ht="18.75" customHeight="1">
      <c r="B14" s="6"/>
      <c r="C14" s="1" t="s">
        <v>10</v>
      </c>
      <c r="D14" s="36">
        <f>3885+1150+600+7143+9574+11077+12602+9981+10000+12000+14196+5500+9293+19600+104000+37691+75764+10000</f>
        <v>354056</v>
      </c>
      <c r="E14" s="1" t="s">
        <v>6</v>
      </c>
      <c r="F14" s="1">
        <v>96.91</v>
      </c>
      <c r="G14" s="44">
        <f>D14*F14</f>
        <v>34311566.960000001</v>
      </c>
    </row>
    <row r="15" spans="2:10" ht="18.75" customHeight="1">
      <c r="B15" s="6"/>
      <c r="C15" s="1" t="s">
        <v>38</v>
      </c>
      <c r="D15" s="36">
        <f>10240+23723+12000+108634+35000+254753+215397+196660+145000</f>
        <v>1001407</v>
      </c>
      <c r="E15" s="1" t="s">
        <v>6</v>
      </c>
      <c r="F15" s="1">
        <v>249.23</v>
      </c>
      <c r="G15" s="44">
        <f>D15*F15</f>
        <v>249580666.60999998</v>
      </c>
      <c r="H15" s="19"/>
      <c r="I15" s="18"/>
      <c r="J15" s="18"/>
    </row>
    <row r="16" spans="2:10" ht="25.5">
      <c r="B16" s="41">
        <v>4</v>
      </c>
      <c r="C16" s="42" t="s">
        <v>65</v>
      </c>
      <c r="D16" s="36"/>
      <c r="E16" s="1"/>
      <c r="F16" s="1"/>
      <c r="G16" s="44"/>
      <c r="H16" s="19"/>
      <c r="I16" s="18"/>
      <c r="J16" s="18"/>
    </row>
    <row r="17" spans="1:10" ht="27" customHeight="1">
      <c r="B17" s="41"/>
      <c r="C17" s="42" t="s">
        <v>94</v>
      </c>
      <c r="D17" s="36"/>
      <c r="E17" s="1" t="s">
        <v>6</v>
      </c>
      <c r="F17" s="54">
        <v>249.2337246708139</v>
      </c>
      <c r="G17" s="44"/>
      <c r="H17" s="19"/>
      <c r="I17" s="18"/>
      <c r="J17" s="18"/>
    </row>
    <row r="18" spans="1:10" ht="25.5">
      <c r="B18" s="6">
        <v>5</v>
      </c>
      <c r="C18" s="40" t="s">
        <v>66</v>
      </c>
      <c r="D18" s="36"/>
      <c r="E18" s="1" t="s">
        <v>6</v>
      </c>
      <c r="F18" s="54">
        <v>1078.429300650386</v>
      </c>
      <c r="G18" s="44"/>
      <c r="H18" s="19"/>
      <c r="I18" s="18"/>
      <c r="J18" s="18"/>
    </row>
    <row r="19" spans="1:10" ht="15" customHeight="1">
      <c r="A19" s="56" t="s">
        <v>49</v>
      </c>
      <c r="B19" s="6"/>
      <c r="C19" s="47" t="s">
        <v>22</v>
      </c>
      <c r="D19" s="44"/>
      <c r="E19" s="1"/>
      <c r="F19" s="1"/>
      <c r="G19" s="44"/>
    </row>
    <row r="20" spans="1:10" ht="30">
      <c r="B20" s="6">
        <v>6</v>
      </c>
      <c r="C20" s="43" t="s">
        <v>13</v>
      </c>
      <c r="D20" s="1"/>
      <c r="E20" s="1"/>
      <c r="F20" s="1"/>
      <c r="G20" s="1"/>
    </row>
    <row r="21" spans="1:10">
      <c r="B21" s="1"/>
      <c r="C21" s="2" t="s">
        <v>11</v>
      </c>
      <c r="D21" s="17">
        <f>4665+2000</f>
        <v>6665</v>
      </c>
      <c r="E21" s="1" t="s">
        <v>6</v>
      </c>
      <c r="F21" s="1">
        <v>96.91</v>
      </c>
      <c r="G21" s="44">
        <f>D21*F21</f>
        <v>645905.15</v>
      </c>
    </row>
    <row r="22" spans="1:10" ht="45">
      <c r="B22" s="1"/>
      <c r="C22" s="2" t="s">
        <v>68</v>
      </c>
      <c r="D22" s="37">
        <f>932.6</f>
        <v>932.6</v>
      </c>
      <c r="E22" s="1" t="s">
        <v>6</v>
      </c>
      <c r="F22" s="1">
        <v>4576.99</v>
      </c>
      <c r="G22" s="44">
        <f>D22*F22</f>
        <v>4268500.8739999998</v>
      </c>
    </row>
    <row r="23" spans="1:10" ht="45">
      <c r="B23" s="1"/>
      <c r="C23" s="2" t="s">
        <v>73</v>
      </c>
      <c r="D23" s="17">
        <f>4431+994</f>
        <v>5425</v>
      </c>
      <c r="E23" s="1" t="s">
        <v>6</v>
      </c>
      <c r="F23" s="1">
        <v>5868.53</v>
      </c>
      <c r="G23" s="44">
        <f>D23*F23</f>
        <v>31836775.25</v>
      </c>
    </row>
    <row r="24" spans="1:10" ht="45">
      <c r="B24" s="1"/>
      <c r="C24" s="2" t="s">
        <v>74</v>
      </c>
      <c r="D24" s="17">
        <v>355</v>
      </c>
      <c r="E24" s="1" t="s">
        <v>29</v>
      </c>
      <c r="F24" s="1">
        <v>75718.77</v>
      </c>
      <c r="G24" s="44">
        <f>D24*F24</f>
        <v>26880163.350000001</v>
      </c>
      <c r="H24" s="20"/>
    </row>
    <row r="25" spans="1:10" ht="45">
      <c r="B25" s="1"/>
      <c r="C25" s="2" t="s">
        <v>72</v>
      </c>
      <c r="D25" s="44"/>
      <c r="E25" s="1"/>
      <c r="F25" s="1"/>
      <c r="G25" s="44"/>
    </row>
    <row r="26" spans="1:10">
      <c r="B26" s="1"/>
      <c r="C26" s="2" t="s">
        <v>69</v>
      </c>
      <c r="D26" s="44"/>
      <c r="E26" s="1" t="s">
        <v>6</v>
      </c>
      <c r="F26" s="1">
        <v>6468</v>
      </c>
      <c r="G26" s="44">
        <f>D26*F26</f>
        <v>0</v>
      </c>
    </row>
    <row r="27" spans="1:10" ht="38.25">
      <c r="B27" s="1"/>
      <c r="C27" s="27" t="s">
        <v>71</v>
      </c>
      <c r="D27" s="44"/>
      <c r="E27" s="1"/>
      <c r="F27" s="1"/>
      <c r="G27" s="44"/>
    </row>
    <row r="28" spans="1:10">
      <c r="B28" s="1"/>
      <c r="C28" s="27" t="s">
        <v>70</v>
      </c>
      <c r="D28" s="44">
        <v>409</v>
      </c>
      <c r="E28" s="1" t="s">
        <v>6</v>
      </c>
      <c r="F28" s="28">
        <v>7285.8483949228903</v>
      </c>
      <c r="G28" s="44">
        <f>D28*F28</f>
        <v>2979911.9935234622</v>
      </c>
    </row>
    <row r="29" spans="1:10" ht="18.75" customHeight="1">
      <c r="A29" s="381" t="s">
        <v>93</v>
      </c>
      <c r="B29" s="6"/>
      <c r="C29" s="48" t="s">
        <v>26</v>
      </c>
      <c r="D29" s="44"/>
      <c r="E29" s="1"/>
      <c r="F29" s="1"/>
      <c r="G29" s="44"/>
    </row>
    <row r="30" spans="1:10" ht="30">
      <c r="A30" s="381"/>
      <c r="B30" s="6">
        <v>7</v>
      </c>
      <c r="C30" s="2" t="s">
        <v>13</v>
      </c>
      <c r="D30" s="38"/>
      <c r="E30" s="1"/>
      <c r="F30" s="1"/>
      <c r="G30" s="1"/>
    </row>
    <row r="31" spans="1:10" ht="15" customHeight="1">
      <c r="A31" s="57"/>
      <c r="B31" s="1"/>
      <c r="C31" s="2" t="s">
        <v>11</v>
      </c>
      <c r="D31" s="36">
        <f>7859+2000</f>
        <v>9859</v>
      </c>
      <c r="E31" s="1" t="s">
        <v>6</v>
      </c>
      <c r="F31" s="1">
        <v>112.79</v>
      </c>
      <c r="G31" s="44">
        <f>D31*F31</f>
        <v>1111996.6100000001</v>
      </c>
    </row>
    <row r="32" spans="1:10" ht="45">
      <c r="B32" s="1"/>
      <c r="C32" s="2" t="s">
        <v>75</v>
      </c>
      <c r="D32" s="36">
        <f>519+187+131</f>
        <v>837</v>
      </c>
      <c r="E32" s="1" t="s">
        <v>6</v>
      </c>
      <c r="F32" s="1">
        <v>4576.99</v>
      </c>
      <c r="G32" s="44">
        <f>D32*F32</f>
        <v>3830940.63</v>
      </c>
    </row>
    <row r="33" spans="1:8" ht="45">
      <c r="B33" s="1"/>
      <c r="C33" s="2" t="s">
        <v>76</v>
      </c>
      <c r="D33" s="36"/>
      <c r="E33" s="1"/>
      <c r="F33" s="1"/>
      <c r="G33" s="44"/>
    </row>
    <row r="34" spans="1:8">
      <c r="B34" s="1"/>
      <c r="C34" s="2" t="s">
        <v>77</v>
      </c>
      <c r="D34" s="36">
        <f>2944+2189+1562</f>
        <v>6695</v>
      </c>
      <c r="E34" s="1" t="s">
        <v>6</v>
      </c>
      <c r="F34" s="1">
        <v>5868.53</v>
      </c>
      <c r="G34" s="44">
        <f>D34*F34</f>
        <v>39289808.350000001</v>
      </c>
    </row>
    <row r="35" spans="1:8">
      <c r="B35" s="1"/>
      <c r="C35" s="2" t="s">
        <v>78</v>
      </c>
      <c r="D35" s="36">
        <f>1384+156</f>
        <v>1540</v>
      </c>
      <c r="E35" s="1" t="s">
        <v>6</v>
      </c>
      <c r="F35" s="1">
        <v>6025.2</v>
      </c>
      <c r="G35" s="44">
        <f>D35*F35</f>
        <v>9278808</v>
      </c>
    </row>
    <row r="36" spans="1:8" ht="45">
      <c r="B36" s="1"/>
      <c r="C36" s="2" t="s">
        <v>79</v>
      </c>
      <c r="D36" s="36"/>
      <c r="E36" s="1"/>
      <c r="F36" s="1"/>
      <c r="G36" s="44"/>
    </row>
    <row r="37" spans="1:8">
      <c r="B37" s="1"/>
      <c r="C37" s="2" t="s">
        <v>80</v>
      </c>
      <c r="D37" s="36"/>
      <c r="E37" s="1" t="s">
        <v>6</v>
      </c>
      <c r="F37" s="54">
        <v>6577.18850085551</v>
      </c>
      <c r="G37" s="44"/>
    </row>
    <row r="38" spans="1:8">
      <c r="B38" s="1"/>
      <c r="C38" s="2" t="s">
        <v>81</v>
      </c>
      <c r="D38" s="36"/>
      <c r="E38" s="1" t="s">
        <v>6</v>
      </c>
      <c r="F38" s="54">
        <v>6733.8606354961657</v>
      </c>
      <c r="G38" s="44"/>
    </row>
    <row r="39" spans="1:8" ht="45">
      <c r="B39" s="1"/>
      <c r="C39" s="2" t="s">
        <v>82</v>
      </c>
      <c r="D39" s="36"/>
      <c r="E39" s="1"/>
      <c r="F39" s="1"/>
      <c r="G39" s="44"/>
    </row>
    <row r="40" spans="1:8">
      <c r="B40" s="1"/>
      <c r="C40" s="4" t="s">
        <v>83</v>
      </c>
      <c r="D40" s="36"/>
      <c r="E40" s="1" t="s">
        <v>6</v>
      </c>
      <c r="F40" s="54">
        <v>7285.8483949228903</v>
      </c>
      <c r="G40" s="44"/>
    </row>
    <row r="41" spans="1:8">
      <c r="B41" s="1"/>
      <c r="C41" s="4" t="s">
        <v>84</v>
      </c>
      <c r="D41" s="36"/>
      <c r="E41" s="1" t="s">
        <v>6</v>
      </c>
      <c r="F41" s="54">
        <v>7442.5205295635469</v>
      </c>
      <c r="G41" s="44"/>
    </row>
    <row r="42" spans="1:8">
      <c r="B42" s="1"/>
      <c r="C42" s="4" t="s">
        <v>85</v>
      </c>
      <c r="D42" s="36"/>
      <c r="E42" s="1" t="s">
        <v>6</v>
      </c>
      <c r="F42" s="54">
        <v>14450.319994474561</v>
      </c>
      <c r="G42" s="44"/>
    </row>
    <row r="43" spans="1:8" ht="45">
      <c r="B43" s="1"/>
      <c r="C43" s="2" t="s">
        <v>28</v>
      </c>
      <c r="D43" s="17">
        <v>475</v>
      </c>
      <c r="E43" s="1" t="s">
        <v>29</v>
      </c>
      <c r="F43" s="1">
        <v>75718.77</v>
      </c>
      <c r="G43" s="44">
        <f>D43*F43</f>
        <v>35966415.75</v>
      </c>
      <c r="H43" s="20"/>
    </row>
    <row r="44" spans="1:8" ht="18.75">
      <c r="A44" s="58" t="s">
        <v>50</v>
      </c>
      <c r="B44" s="6"/>
      <c r="C44" s="49" t="s">
        <v>43</v>
      </c>
      <c r="D44" s="36"/>
      <c r="E44" s="1"/>
      <c r="F44" s="1"/>
      <c r="G44" s="44"/>
    </row>
    <row r="45" spans="1:8" ht="30">
      <c r="A45" s="58"/>
      <c r="B45" s="6">
        <v>8</v>
      </c>
      <c r="C45" s="2" t="s">
        <v>13</v>
      </c>
      <c r="D45" s="38"/>
      <c r="E45" s="1"/>
      <c r="F45" s="1"/>
      <c r="G45" s="1"/>
    </row>
    <row r="46" spans="1:8">
      <c r="B46" s="1"/>
      <c r="C46" s="2" t="s">
        <v>11</v>
      </c>
      <c r="D46" s="36">
        <f>1833+1000</f>
        <v>2833</v>
      </c>
      <c r="E46" s="1" t="s">
        <v>6</v>
      </c>
      <c r="F46" s="1">
        <v>22751</v>
      </c>
      <c r="G46" s="44">
        <f>D46*F46</f>
        <v>64453583</v>
      </c>
    </row>
    <row r="47" spans="1:8" ht="45">
      <c r="B47" s="1"/>
      <c r="C47" s="2" t="s">
        <v>75</v>
      </c>
      <c r="D47" s="36">
        <f>91.5+197</f>
        <v>288.5</v>
      </c>
      <c r="E47" s="1" t="s">
        <v>6</v>
      </c>
      <c r="F47" s="1">
        <v>1076</v>
      </c>
      <c r="G47" s="44">
        <f>D47*F47</f>
        <v>310426</v>
      </c>
    </row>
    <row r="48" spans="1:8" ht="45">
      <c r="B48" s="1"/>
      <c r="C48" s="2" t="s">
        <v>76</v>
      </c>
      <c r="D48" s="36"/>
      <c r="E48" s="1"/>
      <c r="F48" s="1"/>
      <c r="G48" s="44"/>
    </row>
    <row r="49" spans="2:9">
      <c r="B49" s="1"/>
      <c r="C49" s="2" t="s">
        <v>86</v>
      </c>
      <c r="D49" s="36">
        <f>48+1690</f>
        <v>1738</v>
      </c>
      <c r="E49" s="1" t="s">
        <v>6</v>
      </c>
      <c r="F49" s="1">
        <v>3131</v>
      </c>
      <c r="G49" s="44">
        <f>D49*F49</f>
        <v>5441678</v>
      </c>
    </row>
    <row r="50" spans="2:9">
      <c r="B50" s="1"/>
      <c r="C50" s="2" t="s">
        <v>87</v>
      </c>
      <c r="D50" s="36">
        <v>527</v>
      </c>
      <c r="E50" s="1" t="s">
        <v>6</v>
      </c>
      <c r="F50" s="1">
        <v>5985</v>
      </c>
      <c r="G50" s="44">
        <v>3154095</v>
      </c>
    </row>
    <row r="51" spans="2:9" ht="45">
      <c r="B51" s="1"/>
      <c r="C51" s="2" t="s">
        <v>88</v>
      </c>
      <c r="D51" s="36"/>
      <c r="E51" s="1"/>
      <c r="F51" s="1"/>
      <c r="G51" s="44"/>
    </row>
    <row r="52" spans="2:9">
      <c r="B52" s="1"/>
      <c r="C52" s="2" t="s">
        <v>89</v>
      </c>
      <c r="D52" s="36"/>
      <c r="E52" s="1" t="s">
        <v>6</v>
      </c>
      <c r="F52" s="54">
        <v>6577.18850085551</v>
      </c>
      <c r="G52" s="44">
        <f>D52*F52</f>
        <v>0</v>
      </c>
    </row>
    <row r="53" spans="2:9">
      <c r="B53" s="1"/>
      <c r="C53" s="2" t="s">
        <v>90</v>
      </c>
      <c r="D53" s="36"/>
      <c r="E53" s="1" t="s">
        <v>6</v>
      </c>
      <c r="F53" s="54">
        <v>6733.8606354961657</v>
      </c>
      <c r="G53" s="44">
        <f>D53*F53</f>
        <v>0</v>
      </c>
    </row>
    <row r="54" spans="2:9" ht="45">
      <c r="B54" s="1"/>
      <c r="C54" s="2" t="s">
        <v>91</v>
      </c>
      <c r="D54" s="36"/>
      <c r="E54" s="1"/>
      <c r="F54" s="1"/>
      <c r="G54" s="44"/>
    </row>
    <row r="55" spans="2:9">
      <c r="B55" s="1"/>
      <c r="C55" s="2" t="s">
        <v>83</v>
      </c>
      <c r="D55" s="36"/>
      <c r="E55" s="1" t="s">
        <v>6</v>
      </c>
      <c r="F55" s="54">
        <v>7285.8483949228903</v>
      </c>
      <c r="G55" s="44">
        <f>D55*F55</f>
        <v>0</v>
      </c>
    </row>
    <row r="56" spans="2:9">
      <c r="B56" s="1"/>
      <c r="C56" s="2" t="s">
        <v>84</v>
      </c>
      <c r="D56" s="36"/>
      <c r="E56" s="1" t="s">
        <v>6</v>
      </c>
      <c r="F56" s="54">
        <v>7442.5205295635469</v>
      </c>
      <c r="G56" s="44">
        <f>D56*F56</f>
        <v>0</v>
      </c>
    </row>
    <row r="57" spans="2:9" ht="45">
      <c r="B57" s="1"/>
      <c r="C57" s="2" t="s">
        <v>28</v>
      </c>
      <c r="D57" s="17">
        <v>18.29</v>
      </c>
      <c r="E57" s="1" t="s">
        <v>29</v>
      </c>
      <c r="F57" s="1">
        <f>F43</f>
        <v>75718.77</v>
      </c>
      <c r="G57" s="44">
        <f>D57*F57</f>
        <v>1384896.3033</v>
      </c>
      <c r="H57" s="20"/>
    </row>
    <row r="58" spans="2:9" ht="45">
      <c r="B58" s="1"/>
      <c r="C58" s="2" t="s">
        <v>44</v>
      </c>
      <c r="D58" s="17"/>
      <c r="E58" s="1"/>
      <c r="F58" s="1"/>
      <c r="G58" s="44"/>
      <c r="H58" s="20"/>
    </row>
    <row r="59" spans="2:9" ht="45">
      <c r="B59" s="50">
        <v>9</v>
      </c>
      <c r="C59" s="2" t="s">
        <v>92</v>
      </c>
      <c r="D59" s="21"/>
      <c r="E59" s="22"/>
      <c r="F59" s="22"/>
      <c r="G59" s="55"/>
      <c r="H59" s="20"/>
    </row>
    <row r="60" spans="2:9">
      <c r="B60" s="29"/>
      <c r="C60" s="2" t="s">
        <v>55</v>
      </c>
      <c r="D60" s="36">
        <v>2000</v>
      </c>
      <c r="E60" s="22" t="s">
        <v>58</v>
      </c>
      <c r="F60" s="33">
        <v>96.906337141238524</v>
      </c>
      <c r="G60" s="55">
        <f>D60*F60</f>
        <v>193812.67428247703</v>
      </c>
      <c r="H60" s="20"/>
    </row>
    <row r="61" spans="2:9">
      <c r="B61" s="29"/>
      <c r="C61" s="2" t="s">
        <v>56</v>
      </c>
      <c r="D61" s="39">
        <v>60</v>
      </c>
      <c r="E61" s="22" t="s">
        <v>58</v>
      </c>
      <c r="F61" s="33">
        <v>4576.9924799748396</v>
      </c>
      <c r="G61" s="55">
        <f>D61*F61</f>
        <v>274619.54879849037</v>
      </c>
      <c r="H61" s="20"/>
    </row>
    <row r="62" spans="2:9">
      <c r="B62" s="29"/>
      <c r="C62" s="2" t="s">
        <v>57</v>
      </c>
      <c r="D62" s="39">
        <v>249</v>
      </c>
      <c r="E62" s="22" t="s">
        <v>58</v>
      </c>
      <c r="F62" s="33">
        <v>5868.5286067881307</v>
      </c>
      <c r="G62" s="55">
        <f>D62*F62</f>
        <v>1461263.6230902446</v>
      </c>
      <c r="H62" s="20"/>
    </row>
    <row r="63" spans="2:9">
      <c r="E63" s="13">
        <f>G63/G64</f>
        <v>8.176956942427599E-2</v>
      </c>
      <c r="F63" s="9"/>
      <c r="G63" s="8">
        <f>SUM(G4:G62)</f>
        <v>570105614.98299468</v>
      </c>
      <c r="I63" s="59">
        <f>G63/G64</f>
        <v>8.176956942427599E-2</v>
      </c>
    </row>
    <row r="64" spans="2:9">
      <c r="E64" s="5">
        <v>100</v>
      </c>
      <c r="F64" s="5"/>
      <c r="G64" s="10">
        <v>6972100000</v>
      </c>
    </row>
  </sheetData>
  <mergeCells count="2">
    <mergeCell ref="B1:G1"/>
    <mergeCell ref="A29:A30"/>
  </mergeCells>
  <pageMargins left="0.7" right="0.7" top="0.75" bottom="0.75" header="0.3" footer="0.3"/>
  <pageSetup paperSize="9" scale="66" orientation="portrait" r:id="rId1"/>
  <rowBreaks count="1" manualBreakCount="1">
    <brk id="43" min="1" max="6" man="1"/>
  </rowBreaks>
  <colBreaks count="1" manualBreakCount="1">
    <brk id="1" max="1048575" man="1"/>
  </colBreaks>
</worksheet>
</file>

<file path=xl/worksheets/sheet18.xml><?xml version="1.0" encoding="utf-8"?>
<worksheet xmlns="http://schemas.openxmlformats.org/spreadsheetml/2006/main" xmlns:r="http://schemas.openxmlformats.org/officeDocument/2006/relationships">
  <sheetPr>
    <tabColor rgb="FF7030A0"/>
  </sheetPr>
  <dimension ref="A1:AA107"/>
  <sheetViews>
    <sheetView tabSelected="1" view="pageBreakPreview" topLeftCell="B72" zoomScaleSheetLayoutView="100" workbookViewId="0">
      <selection activeCell="Q7" sqref="Q7"/>
    </sheetView>
  </sheetViews>
  <sheetFormatPr defaultColWidth="9.140625" defaultRowHeight="14.25"/>
  <cols>
    <col min="1" max="1" width="5.140625" style="366" customWidth="1"/>
    <col min="2" max="2" width="9.5703125" style="123" bestFit="1" customWidth="1"/>
    <col min="3" max="3" width="76.140625" style="123" customWidth="1"/>
    <col min="4" max="4" width="12.7109375" style="338" customWidth="1"/>
    <col min="5" max="5" width="8.85546875" style="194" customWidth="1"/>
    <col min="6" max="6" width="13.140625" style="338" bestFit="1" customWidth="1"/>
    <col min="7" max="7" width="19.7109375" style="338" customWidth="1"/>
    <col min="8" max="8" width="11.42578125" style="122" hidden="1" customWidth="1"/>
    <col min="9" max="11" width="10.7109375" style="122" hidden="1" customWidth="1"/>
    <col min="12" max="12" width="10.28515625" style="122" hidden="1" customWidth="1"/>
    <col min="13" max="13" width="9.28515625" style="122" hidden="1" customWidth="1"/>
    <col min="14" max="14" width="13.5703125" style="122" hidden="1" customWidth="1"/>
    <col min="15" max="15" width="11.42578125" style="122" hidden="1" customWidth="1"/>
    <col min="16" max="16" width="10.7109375" style="122" bestFit="1" customWidth="1"/>
    <col min="17" max="25" width="9.140625" style="122"/>
    <col min="26" max="16384" width="9.140625" style="123"/>
  </cols>
  <sheetData>
    <row r="1" spans="1:20" ht="20.25">
      <c r="B1" s="382" t="s">
        <v>276</v>
      </c>
      <c r="C1" s="382"/>
      <c r="D1" s="382"/>
      <c r="E1" s="382"/>
      <c r="F1" s="382"/>
      <c r="G1" s="382"/>
    </row>
    <row r="2" spans="1:20" ht="21" customHeight="1">
      <c r="B2" s="124" t="s">
        <v>14</v>
      </c>
      <c r="C2" s="124" t="s">
        <v>12</v>
      </c>
      <c r="D2" s="364" t="s">
        <v>1</v>
      </c>
      <c r="E2" s="364" t="s">
        <v>2</v>
      </c>
      <c r="F2" s="364" t="s">
        <v>16</v>
      </c>
      <c r="G2" s="364" t="s">
        <v>3</v>
      </c>
    </row>
    <row r="3" spans="1:20" ht="27.75" customHeight="1">
      <c r="B3" s="195" t="s">
        <v>160</v>
      </c>
      <c r="C3" s="135" t="s">
        <v>67</v>
      </c>
      <c r="D3" s="360"/>
      <c r="E3" s="361"/>
      <c r="F3" s="360"/>
      <c r="G3" s="360"/>
    </row>
    <row r="4" spans="1:20" ht="31.5" customHeight="1">
      <c r="B4" s="307">
        <v>1</v>
      </c>
      <c r="C4" s="133" t="s">
        <v>0</v>
      </c>
      <c r="D4" s="310">
        <v>143</v>
      </c>
      <c r="E4" s="136" t="s">
        <v>4</v>
      </c>
      <c r="F4" s="310">
        <v>30811.3</v>
      </c>
      <c r="G4" s="310">
        <f>D4*F4</f>
        <v>4406015.8999999994</v>
      </c>
    </row>
    <row r="5" spans="1:20" ht="76.5" customHeight="1">
      <c r="B5" s="125">
        <v>2</v>
      </c>
      <c r="C5" s="160" t="s">
        <v>7</v>
      </c>
      <c r="D5" s="310"/>
      <c r="E5" s="136"/>
      <c r="F5" s="310"/>
      <c r="G5" s="310"/>
    </row>
    <row r="6" spans="1:20" ht="23.25" customHeight="1">
      <c r="B6" s="125"/>
      <c r="C6" s="314" t="s">
        <v>5</v>
      </c>
      <c r="D6" s="310">
        <f>2928897.2+10000+15340</f>
        <v>2954237.2</v>
      </c>
      <c r="E6" s="136" t="s">
        <v>6</v>
      </c>
      <c r="F6" s="310">
        <v>90.23</v>
      </c>
      <c r="G6" s="310">
        <f t="shared" ref="G6:G7" si="0">D6*F6</f>
        <v>266560822.55600002</v>
      </c>
      <c r="I6" s="130"/>
      <c r="P6" s="122">
        <v>15340</v>
      </c>
    </row>
    <row r="7" spans="1:20" ht="74.25" customHeight="1">
      <c r="B7" s="125"/>
      <c r="C7" s="160" t="s">
        <v>126</v>
      </c>
      <c r="D7" s="310">
        <f>309791+2254+28300+20262+21455+4150+21524.3+18457+276545+125450+50000+15000+90000+40000+122826+65000+49362</f>
        <v>1260376.3</v>
      </c>
      <c r="E7" s="136" t="s">
        <v>6</v>
      </c>
      <c r="F7" s="310">
        <v>308.11</v>
      </c>
      <c r="G7" s="310">
        <f t="shared" si="0"/>
        <v>388334541.79300004</v>
      </c>
      <c r="H7" s="339"/>
      <c r="I7" s="130"/>
      <c r="J7" s="132"/>
      <c r="N7" s="130"/>
      <c r="O7" s="122">
        <f>34058*18.5*0.5</f>
        <v>315036.5</v>
      </c>
      <c r="P7" s="122">
        <v>40000</v>
      </c>
    </row>
    <row r="8" spans="1:20" ht="36.75" customHeight="1">
      <c r="B8" s="125">
        <v>3</v>
      </c>
      <c r="C8" s="133" t="s">
        <v>9</v>
      </c>
      <c r="D8" s="310"/>
      <c r="E8" s="136"/>
      <c r="F8" s="310"/>
      <c r="G8" s="310"/>
      <c r="I8" s="130"/>
      <c r="J8" s="132"/>
      <c r="N8" s="130"/>
    </row>
    <row r="9" spans="1:20" ht="28.5">
      <c r="B9" s="125"/>
      <c r="C9" s="133" t="s">
        <v>8</v>
      </c>
      <c r="D9" s="310"/>
      <c r="E9" s="136"/>
      <c r="F9" s="310"/>
      <c r="G9" s="310"/>
      <c r="I9" s="130"/>
      <c r="J9" s="132"/>
      <c r="N9" s="130"/>
      <c r="R9" s="122">
        <f>73*18</f>
        <v>1314</v>
      </c>
      <c r="S9" s="122">
        <v>10</v>
      </c>
      <c r="T9" s="122">
        <f>R9*S9</f>
        <v>13140</v>
      </c>
    </row>
    <row r="10" spans="1:20" ht="21.75" customHeight="1">
      <c r="B10" s="125"/>
      <c r="C10" s="314" t="s">
        <v>10</v>
      </c>
      <c r="D10" s="310">
        <f>2010729.615+25000+20000+21933-18667</f>
        <v>2058995.615</v>
      </c>
      <c r="E10" s="136" t="s">
        <v>6</v>
      </c>
      <c r="F10" s="310">
        <v>96.91</v>
      </c>
      <c r="G10" s="310">
        <f t="shared" ref="G10:G11" si="1">D10*F10</f>
        <v>199537265.04964998</v>
      </c>
      <c r="I10" s="130"/>
      <c r="J10" s="132"/>
      <c r="N10" s="130"/>
      <c r="R10" s="122">
        <f>605*18</f>
        <v>10890</v>
      </c>
      <c r="S10" s="122">
        <v>6</v>
      </c>
      <c r="T10" s="122">
        <f>R10*S10</f>
        <v>65340</v>
      </c>
    </row>
    <row r="11" spans="1:20" ht="21.75" customHeight="1">
      <c r="B11" s="125"/>
      <c r="C11" s="314" t="s">
        <v>38</v>
      </c>
      <c r="D11" s="310">
        <f>54904.65+54772.5+3320+22455+15976-6124+19355+42357+30549+77500+25000+10000+50000+45000+45000+51789+15000+10000+28063</f>
        <v>594917.15</v>
      </c>
      <c r="E11" s="136" t="s">
        <v>6</v>
      </c>
      <c r="F11" s="310">
        <v>249.23</v>
      </c>
      <c r="G11" s="310">
        <f t="shared" si="1"/>
        <v>148271201.29449999</v>
      </c>
      <c r="I11" s="130"/>
      <c r="J11" s="132"/>
      <c r="N11" s="130"/>
      <c r="P11" s="122">
        <v>13140</v>
      </c>
    </row>
    <row r="12" spans="1:20" ht="28.5">
      <c r="B12" s="313">
        <v>4</v>
      </c>
      <c r="C12" s="315" t="s">
        <v>65</v>
      </c>
      <c r="D12" s="310"/>
      <c r="E12" s="136"/>
      <c r="F12" s="310"/>
      <c r="G12" s="310"/>
      <c r="I12" s="130"/>
      <c r="J12" s="132"/>
      <c r="N12" s="130"/>
    </row>
    <row r="13" spans="1:20" ht="21" customHeight="1">
      <c r="B13" s="313"/>
      <c r="C13" s="315" t="s">
        <v>246</v>
      </c>
      <c r="D13" s="310">
        <f>320085+5000+2562+1000+4000</f>
        <v>332647</v>
      </c>
      <c r="E13" s="136" t="s">
        <v>6</v>
      </c>
      <c r="F13" s="310">
        <v>249.2337246708139</v>
      </c>
      <c r="G13" s="310">
        <f t="shared" ref="G13:G18" si="2">D13*F13</f>
        <v>82906850.810572237</v>
      </c>
      <c r="H13" s="122">
        <v>304510</v>
      </c>
      <c r="I13" s="130"/>
      <c r="J13" s="132"/>
      <c r="N13" s="130">
        <f>H13-D13</f>
        <v>-28137</v>
      </c>
    </row>
    <row r="14" spans="1:20" ht="37.5" customHeight="1">
      <c r="B14" s="125">
        <v>5</v>
      </c>
      <c r="C14" s="315" t="s">
        <v>247</v>
      </c>
      <c r="D14" s="310">
        <f>46242.975+1125+6056+6287.6+955.7+1435+64+122.4+806+426+832+720+755+985+1000+15651+18055+1000+1000</f>
        <v>103518.67499999999</v>
      </c>
      <c r="E14" s="136" t="s">
        <v>6</v>
      </c>
      <c r="F14" s="310">
        <v>1078.429300650386</v>
      </c>
      <c r="G14" s="310">
        <f t="shared" si="2"/>
        <v>111637572.28450459</v>
      </c>
      <c r="H14" s="122">
        <v>101077.65599999999</v>
      </c>
      <c r="I14" s="130"/>
      <c r="J14" s="132"/>
      <c r="N14" s="336">
        <f>H14-D14</f>
        <v>-2441.0190000000002</v>
      </c>
      <c r="P14" s="122">
        <f>30275*17.5*0.17</f>
        <v>90068.125</v>
      </c>
    </row>
    <row r="15" spans="1:20" customFormat="1" ht="33.75" customHeight="1">
      <c r="A15" s="367"/>
      <c r="B15" s="6">
        <v>6</v>
      </c>
      <c r="C15" s="316" t="s">
        <v>248</v>
      </c>
      <c r="D15" s="311">
        <f>24402+4263+15729+1000+10256+350+1500+3000</f>
        <v>60500</v>
      </c>
      <c r="E15" s="76" t="s">
        <v>6</v>
      </c>
      <c r="F15" s="311">
        <v>1978.3380257861238</v>
      </c>
      <c r="G15" s="311">
        <f>F15*D15</f>
        <v>119689450.56006049</v>
      </c>
      <c r="H15" s="340">
        <v>55650</v>
      </c>
      <c r="I15" s="341"/>
      <c r="J15" s="342"/>
      <c r="K15" s="343"/>
      <c r="L15" s="344"/>
      <c r="M15" s="345"/>
      <c r="N15" s="336">
        <f>H15-D15</f>
        <v>-4850</v>
      </c>
    </row>
    <row r="16" spans="1:20" ht="41.25" customHeight="1">
      <c r="B16" s="125">
        <v>6</v>
      </c>
      <c r="C16" s="315" t="s">
        <v>249</v>
      </c>
      <c r="D16" s="310">
        <v>14061</v>
      </c>
      <c r="E16" s="136" t="s">
        <v>6</v>
      </c>
      <c r="F16" s="310">
        <v>1605.2049429494912</v>
      </c>
      <c r="G16" s="310">
        <f t="shared" si="2"/>
        <v>22570786.702812795</v>
      </c>
      <c r="I16" s="130"/>
      <c r="J16" s="132"/>
      <c r="N16" s="130"/>
    </row>
    <row r="17" spans="1:27" ht="38.25" customHeight="1">
      <c r="B17" s="125">
        <v>7</v>
      </c>
      <c r="C17" s="315" t="s">
        <v>250</v>
      </c>
      <c r="D17" s="310">
        <f>12732+1956+9674+1000+5826+271+4170</f>
        <v>35629</v>
      </c>
      <c r="E17" s="136" t="s">
        <v>6</v>
      </c>
      <c r="F17" s="310">
        <v>1605.2049429494912</v>
      </c>
      <c r="G17" s="310">
        <f t="shared" si="2"/>
        <v>57191846.912347421</v>
      </c>
      <c r="H17" s="130">
        <v>31188.000000000015</v>
      </c>
      <c r="I17" s="130"/>
      <c r="J17" s="132"/>
      <c r="N17" s="336">
        <f>H17-D17</f>
        <v>-4440.9999999999854</v>
      </c>
    </row>
    <row r="18" spans="1:27" ht="36.75" customHeight="1">
      <c r="B18" s="125">
        <v>8</v>
      </c>
      <c r="C18" s="315" t="s">
        <v>251</v>
      </c>
      <c r="D18" s="310">
        <f>12016.875+500+3000+1200+8751+1000+2180+2000</f>
        <v>30647.875</v>
      </c>
      <c r="E18" s="136" t="s">
        <v>6</v>
      </c>
      <c r="F18" s="310">
        <v>1802</v>
      </c>
      <c r="G18" s="310">
        <f t="shared" si="2"/>
        <v>55227470.75</v>
      </c>
      <c r="H18" s="122">
        <v>22467.750000000011</v>
      </c>
      <c r="I18" s="130"/>
      <c r="J18" s="162"/>
      <c r="N18" s="336">
        <f>H18-D18</f>
        <v>-8180.1249999999891</v>
      </c>
    </row>
    <row r="19" spans="1:27" ht="25.5" customHeight="1">
      <c r="B19" s="195" t="s">
        <v>163</v>
      </c>
      <c r="C19" s="135" t="s">
        <v>102</v>
      </c>
      <c r="D19" s="310"/>
      <c r="E19" s="136"/>
      <c r="F19" s="310"/>
      <c r="G19" s="310"/>
      <c r="I19" s="130"/>
      <c r="J19" s="132"/>
      <c r="N19" s="130"/>
    </row>
    <row r="20" spans="1:27" ht="33.75" customHeight="1">
      <c r="B20" s="125">
        <v>1</v>
      </c>
      <c r="C20" s="315" t="s">
        <v>252</v>
      </c>
      <c r="D20" s="310">
        <f>280623+101017+2500</f>
        <v>384140</v>
      </c>
      <c r="E20" s="136" t="s">
        <v>106</v>
      </c>
      <c r="F20" s="310">
        <v>49.225000000000001</v>
      </c>
      <c r="G20" s="310">
        <f t="shared" ref="G20:G23" si="3">D20*F20</f>
        <v>18909291.5</v>
      </c>
      <c r="H20" s="122">
        <v>381640.00000000006</v>
      </c>
      <c r="I20" s="130"/>
      <c r="J20" s="132"/>
      <c r="N20" s="336">
        <f>H20-D20</f>
        <v>-2499.9999999999418</v>
      </c>
    </row>
    <row r="21" spans="1:27" ht="45.75" customHeight="1">
      <c r="B21" s="125">
        <f>B20+1</f>
        <v>2</v>
      </c>
      <c r="C21" s="315" t="s">
        <v>253</v>
      </c>
      <c r="D21" s="310">
        <f>280623+101017+2500</f>
        <v>384140</v>
      </c>
      <c r="E21" s="136" t="s">
        <v>106</v>
      </c>
      <c r="F21" s="310">
        <v>13.65</v>
      </c>
      <c r="G21" s="310">
        <f t="shared" si="3"/>
        <v>5243511</v>
      </c>
      <c r="H21" s="122">
        <v>381640.00000000006</v>
      </c>
      <c r="I21" s="130"/>
      <c r="J21" s="132"/>
      <c r="N21" s="336">
        <f>H21-D21</f>
        <v>-2499.9999999999418</v>
      </c>
    </row>
    <row r="22" spans="1:27" ht="45" customHeight="1">
      <c r="B22" s="125">
        <f t="shared" ref="B22:B24" si="4">B21+1</f>
        <v>3</v>
      </c>
      <c r="C22" s="315" t="s">
        <v>254</v>
      </c>
      <c r="D22" s="310">
        <f>12482.69+580+2579+903</f>
        <v>16544.690000000002</v>
      </c>
      <c r="E22" s="136" t="s">
        <v>6</v>
      </c>
      <c r="F22" s="310">
        <v>9856.7824970557394</v>
      </c>
      <c r="G22" s="310">
        <f t="shared" si="3"/>
        <v>163077410.81121314</v>
      </c>
      <c r="H22" s="122">
        <v>22701.000000000004</v>
      </c>
      <c r="I22" s="130"/>
      <c r="J22" s="132"/>
      <c r="N22" s="336">
        <f>H22-D22</f>
        <v>6156.3100000000013</v>
      </c>
    </row>
    <row r="23" spans="1:27" ht="45" customHeight="1">
      <c r="B23" s="125">
        <f t="shared" si="4"/>
        <v>4</v>
      </c>
      <c r="C23" s="315" t="s">
        <v>253</v>
      </c>
      <c r="D23" s="310">
        <f>280623+101017</f>
        <v>381640</v>
      </c>
      <c r="E23" s="136" t="s">
        <v>106</v>
      </c>
      <c r="F23" s="310">
        <v>13.65</v>
      </c>
      <c r="G23" s="310">
        <f t="shared" si="3"/>
        <v>5209386</v>
      </c>
      <c r="I23" s="130"/>
      <c r="J23" s="132"/>
      <c r="N23" s="336"/>
      <c r="R23" s="122">
        <f>32600*11.7</f>
        <v>381420</v>
      </c>
    </row>
    <row r="24" spans="1:27" ht="45" customHeight="1">
      <c r="B24" s="125">
        <f t="shared" si="4"/>
        <v>5</v>
      </c>
      <c r="C24" s="315" t="s">
        <v>268</v>
      </c>
      <c r="D24" s="310">
        <f>14996+250</f>
        <v>15246</v>
      </c>
      <c r="E24" s="136" t="s">
        <v>6</v>
      </c>
      <c r="F24" s="365">
        <v>11568.865882377631</v>
      </c>
      <c r="G24" s="310">
        <f>D24*F24</f>
        <v>176378929.24272937</v>
      </c>
      <c r="I24" s="130"/>
      <c r="J24" s="132"/>
      <c r="N24" s="336"/>
      <c r="Q24" s="122">
        <f>44870/1000</f>
        <v>44.87</v>
      </c>
      <c r="S24" s="122" t="s">
        <v>264</v>
      </c>
      <c r="T24" s="122" t="s">
        <v>265</v>
      </c>
      <c r="U24" s="122">
        <f>0.132*44870</f>
        <v>5922.84</v>
      </c>
    </row>
    <row r="25" spans="1:27" ht="35.25" customHeight="1">
      <c r="B25" s="195" t="s">
        <v>163</v>
      </c>
      <c r="C25" s="135" t="s">
        <v>273</v>
      </c>
      <c r="D25" s="310"/>
      <c r="E25" s="136"/>
      <c r="F25" s="310"/>
      <c r="G25" s="310"/>
      <c r="I25" s="130"/>
      <c r="J25" s="132"/>
      <c r="N25" s="130"/>
    </row>
    <row r="26" spans="1:27" ht="39" customHeight="1">
      <c r="B26" s="313">
        <v>1</v>
      </c>
      <c r="C26" s="315" t="s">
        <v>65</v>
      </c>
      <c r="D26" s="310"/>
      <c r="E26" s="136"/>
      <c r="F26" s="310"/>
      <c r="G26" s="310"/>
      <c r="I26" s="130"/>
      <c r="J26" s="132"/>
      <c r="N26" s="130"/>
    </row>
    <row r="27" spans="1:27" ht="39" customHeight="1">
      <c r="B27" s="313"/>
      <c r="C27" s="315" t="s">
        <v>246</v>
      </c>
      <c r="D27" s="310">
        <f>1180+250+10822</f>
        <v>12252</v>
      </c>
      <c r="E27" s="136" t="s">
        <v>6</v>
      </c>
      <c r="F27" s="310">
        <v>249.2337246708139</v>
      </c>
      <c r="G27" s="310">
        <f>D27*F27</f>
        <v>3053611.5946668121</v>
      </c>
      <c r="H27" s="122">
        <v>304510</v>
      </c>
      <c r="I27" s="130"/>
      <c r="J27" s="132"/>
      <c r="N27" s="130">
        <f>H27-D27</f>
        <v>292258</v>
      </c>
      <c r="AA27" s="123">
        <f>1200+4500+1900+3200+1000</f>
        <v>11800</v>
      </c>
    </row>
    <row r="28" spans="1:27" ht="39" customHeight="1">
      <c r="B28" s="125">
        <f>B26+1</f>
        <v>2</v>
      </c>
      <c r="C28" s="315" t="s">
        <v>247</v>
      </c>
      <c r="D28" s="310">
        <f>590+150+359</f>
        <v>1099</v>
      </c>
      <c r="E28" s="136" t="s">
        <v>6</v>
      </c>
      <c r="F28" s="310">
        <v>1078.429300650386</v>
      </c>
      <c r="G28" s="310">
        <f t="shared" ref="G28:G30" si="5">D28*F28</f>
        <v>1185193.8014147743</v>
      </c>
      <c r="H28" s="122">
        <v>101077.65599999999</v>
      </c>
      <c r="I28" s="130"/>
      <c r="J28" s="132"/>
      <c r="N28" s="336">
        <f>H28-D28</f>
        <v>99978.655999999988</v>
      </c>
      <c r="P28" s="122">
        <f>30275*17.5*0.17</f>
        <v>90068.125</v>
      </c>
      <c r="W28" s="374"/>
      <c r="X28" s="374" t="s">
        <v>269</v>
      </c>
    </row>
    <row r="29" spans="1:27" ht="39" customHeight="1">
      <c r="B29" s="125">
        <f>B28+1</f>
        <v>3</v>
      </c>
      <c r="C29" s="373" t="s">
        <v>266</v>
      </c>
      <c r="D29" s="310">
        <f>324</f>
        <v>324</v>
      </c>
      <c r="E29" s="136" t="s">
        <v>6</v>
      </c>
      <c r="F29" s="365">
        <v>2157.8336509373967</v>
      </c>
      <c r="G29" s="310">
        <f>D29*F29</f>
        <v>699138.1029037165</v>
      </c>
      <c r="I29" s="130"/>
      <c r="J29" s="132"/>
      <c r="N29" s="336"/>
      <c r="Q29" s="122">
        <f>200*7.25*0.5</f>
        <v>725</v>
      </c>
      <c r="W29" s="374" t="s">
        <v>270</v>
      </c>
      <c r="X29" s="374">
        <f>200*11.8*0.5</f>
        <v>1180</v>
      </c>
    </row>
    <row r="30" spans="1:27" ht="59.25" customHeight="1">
      <c r="B30" s="125">
        <f>B29+1</f>
        <v>4</v>
      </c>
      <c r="C30" s="40" t="s">
        <v>267</v>
      </c>
      <c r="D30" s="310">
        <v>0</v>
      </c>
      <c r="E30" s="136" t="s">
        <v>6</v>
      </c>
      <c r="F30" s="365">
        <v>6552.740685699021</v>
      </c>
      <c r="G30" s="310">
        <f t="shared" si="5"/>
        <v>0</v>
      </c>
      <c r="I30" s="130"/>
      <c r="J30" s="132"/>
      <c r="N30" s="336"/>
      <c r="W30" s="374" t="s">
        <v>271</v>
      </c>
      <c r="X30" s="374">
        <f>200*11.8*0.25</f>
        <v>590</v>
      </c>
    </row>
    <row r="31" spans="1:27" ht="29.25" customHeight="1">
      <c r="A31" s="368" t="s">
        <v>49</v>
      </c>
      <c r="B31" s="195" t="s">
        <v>164</v>
      </c>
      <c r="C31" s="135" t="s">
        <v>22</v>
      </c>
      <c r="D31" s="310"/>
      <c r="E31" s="136"/>
      <c r="F31" s="310"/>
      <c r="G31" s="310"/>
      <c r="I31" s="130"/>
      <c r="J31" s="132"/>
      <c r="N31" s="130"/>
      <c r="W31" s="374" t="s">
        <v>272</v>
      </c>
      <c r="X31" s="374">
        <f>200*10.8*0.15</f>
        <v>324</v>
      </c>
    </row>
    <row r="32" spans="1:27" ht="36.75" customHeight="1">
      <c r="B32" s="125">
        <v>1</v>
      </c>
      <c r="C32" s="317" t="s">
        <v>13</v>
      </c>
      <c r="D32" s="310"/>
      <c r="E32" s="136"/>
      <c r="F32" s="310"/>
      <c r="G32" s="310"/>
      <c r="I32" s="130"/>
      <c r="J32" s="132"/>
      <c r="N32" s="130"/>
    </row>
    <row r="33" spans="1:25" ht="23.25" customHeight="1">
      <c r="B33" s="125"/>
      <c r="C33" s="133" t="s">
        <v>11</v>
      </c>
      <c r="D33" s="310">
        <f>27789.406+250+300</f>
        <v>28339.405999999999</v>
      </c>
      <c r="E33" s="136" t="s">
        <v>6</v>
      </c>
      <c r="F33" s="310">
        <v>96.91</v>
      </c>
      <c r="G33" s="310">
        <f>D33*F33</f>
        <v>2746371.8354599997</v>
      </c>
      <c r="I33" s="130"/>
      <c r="J33" s="132"/>
      <c r="N33" s="130"/>
    </row>
    <row r="34" spans="1:25" ht="42.75">
      <c r="B34" s="125">
        <v>2</v>
      </c>
      <c r="C34" s="133" t="s">
        <v>133</v>
      </c>
      <c r="D34" s="310">
        <f>2643.5-100+500+36+15</f>
        <v>3094.5</v>
      </c>
      <c r="E34" s="136" t="s">
        <v>6</v>
      </c>
      <c r="F34" s="310">
        <v>4576.99</v>
      </c>
      <c r="G34" s="310">
        <f>D34*F34</f>
        <v>14163495.555</v>
      </c>
      <c r="H34" s="122">
        <v>699</v>
      </c>
      <c r="I34" s="130"/>
      <c r="J34" s="132"/>
      <c r="N34" s="130">
        <f>1514+683</f>
        <v>2197</v>
      </c>
      <c r="R34" s="122">
        <f>32600*11.5*0.04</f>
        <v>14996</v>
      </c>
    </row>
    <row r="35" spans="1:25" ht="42.75">
      <c r="B35" s="125">
        <v>3</v>
      </c>
      <c r="C35" s="133" t="s">
        <v>134</v>
      </c>
      <c r="D35" s="310">
        <f>19078.721+279+150+136</f>
        <v>19643.721000000001</v>
      </c>
      <c r="E35" s="136" t="s">
        <v>6</v>
      </c>
      <c r="F35" s="310">
        <v>5868.53</v>
      </c>
      <c r="G35" s="310">
        <f t="shared" ref="G35" si="6">D35*F35</f>
        <v>115279766.00013</v>
      </c>
      <c r="H35" s="122">
        <v>7103</v>
      </c>
      <c r="I35" s="130"/>
      <c r="J35" s="132"/>
      <c r="N35" s="130">
        <f>14411+3889+489</f>
        <v>18789</v>
      </c>
    </row>
    <row r="36" spans="1:25" ht="42.75">
      <c r="B36" s="125">
        <v>4</v>
      </c>
      <c r="C36" s="133" t="s">
        <v>135</v>
      </c>
      <c r="D36" s="310">
        <f>3858.470876+10+100+40+40+20+20+30</f>
        <v>4118.4708759999994</v>
      </c>
      <c r="E36" s="136" t="s">
        <v>29</v>
      </c>
      <c r="F36" s="310">
        <v>75718.77</v>
      </c>
      <c r="G36" s="310">
        <f>D36*F36</f>
        <v>311845549.0115425</v>
      </c>
      <c r="I36" s="130"/>
      <c r="J36" s="132"/>
      <c r="N36" s="130"/>
    </row>
    <row r="37" spans="1:25" ht="47.25" customHeight="1">
      <c r="B37" s="125">
        <v>5</v>
      </c>
      <c r="C37" s="318" t="s">
        <v>255</v>
      </c>
      <c r="D37" s="310"/>
      <c r="E37" s="136"/>
      <c r="F37" s="310"/>
      <c r="G37" s="310"/>
      <c r="I37" s="130"/>
      <c r="J37" s="132"/>
      <c r="N37" s="130"/>
      <c r="R37" s="122">
        <f>1419*3%</f>
        <v>42.57</v>
      </c>
    </row>
    <row r="38" spans="1:25" s="139" customFormat="1" ht="21.75" customHeight="1">
      <c r="A38" s="366"/>
      <c r="B38" s="129"/>
      <c r="C38" s="318" t="s">
        <v>256</v>
      </c>
      <c r="D38" s="310">
        <f>2551.56+2592.34+1380.7+65.8+744+125+65.8+33.6+87.5+1861.5+146.3+1245+152+75+255.343-90+111.129+125.389+152.25+735+165+100+500+50+33</f>
        <v>13263.210999999999</v>
      </c>
      <c r="E38" s="136" t="s">
        <v>6</v>
      </c>
      <c r="F38" s="320">
        <v>7285.8483949228903</v>
      </c>
      <c r="G38" s="310">
        <f>D38*F38</f>
        <v>96633744.575873613</v>
      </c>
      <c r="H38" s="122">
        <v>5429</v>
      </c>
      <c r="I38" s="122"/>
      <c r="J38" s="122"/>
      <c r="K38" s="122"/>
      <c r="L38" s="122"/>
      <c r="M38" s="122"/>
      <c r="N38" s="122"/>
      <c r="O38" s="122"/>
      <c r="P38" s="122"/>
      <c r="Q38" s="122"/>
      <c r="R38" s="122"/>
      <c r="S38" s="122"/>
      <c r="T38" s="122"/>
      <c r="U38" s="122"/>
      <c r="V38" s="122"/>
      <c r="W38" s="122"/>
      <c r="X38" s="122"/>
      <c r="Y38" s="122"/>
    </row>
    <row r="39" spans="1:25" s="139" customFormat="1" ht="28.5" customHeight="1">
      <c r="A39" s="383" t="s">
        <v>93</v>
      </c>
      <c r="B39" s="195" t="s">
        <v>165</v>
      </c>
      <c r="C39" s="140" t="s">
        <v>26</v>
      </c>
      <c r="D39" s="310"/>
      <c r="E39" s="136"/>
      <c r="F39" s="310"/>
      <c r="G39" s="310"/>
      <c r="H39" s="122"/>
      <c r="I39" s="122"/>
      <c r="J39" s="122"/>
      <c r="K39" s="122"/>
      <c r="L39" s="122"/>
      <c r="M39" s="122"/>
      <c r="N39" s="122"/>
      <c r="O39" s="122"/>
      <c r="P39" s="122"/>
      <c r="Q39" s="122"/>
      <c r="R39" s="122"/>
      <c r="S39" s="122"/>
      <c r="T39" s="122"/>
      <c r="U39" s="122"/>
      <c r="V39" s="122"/>
      <c r="W39" s="122"/>
      <c r="X39" s="122"/>
      <c r="Y39" s="122"/>
    </row>
    <row r="40" spans="1:25" s="139" customFormat="1" ht="48.75" customHeight="1">
      <c r="A40" s="383"/>
      <c r="B40" s="125">
        <v>1</v>
      </c>
      <c r="C40" s="133" t="s">
        <v>13</v>
      </c>
      <c r="D40" s="310"/>
      <c r="E40" s="136"/>
      <c r="F40" s="310"/>
      <c r="G40" s="310"/>
      <c r="H40" s="122"/>
      <c r="I40" s="122"/>
      <c r="J40" s="122"/>
      <c r="K40" s="122"/>
      <c r="L40" s="122"/>
      <c r="M40" s="122"/>
      <c r="N40" s="122"/>
      <c r="O40" s="122"/>
      <c r="P40" s="122"/>
      <c r="Q40" s="122"/>
      <c r="R40" s="122"/>
      <c r="S40" s="122"/>
      <c r="T40" s="122"/>
      <c r="U40" s="122"/>
      <c r="V40" s="122"/>
      <c r="W40" s="122"/>
      <c r="X40" s="122"/>
      <c r="Y40" s="122"/>
    </row>
    <row r="41" spans="1:25" s="139" customFormat="1" ht="48.75" customHeight="1">
      <c r="A41" s="369"/>
      <c r="B41" s="125"/>
      <c r="C41" s="133" t="s">
        <v>11</v>
      </c>
      <c r="D41" s="310">
        <f>6027+1895.4+5745+325+647+1288+3575</f>
        <v>19502.400000000001</v>
      </c>
      <c r="E41" s="136" t="s">
        <v>6</v>
      </c>
      <c r="F41" s="310">
        <v>112.79</v>
      </c>
      <c r="G41" s="310">
        <f>D41*F41</f>
        <v>2199675.6960000005</v>
      </c>
      <c r="H41" s="122"/>
      <c r="I41" s="122"/>
      <c r="J41" s="122"/>
      <c r="K41" s="122"/>
      <c r="L41" s="122"/>
      <c r="M41" s="122"/>
      <c r="N41" s="122"/>
      <c r="O41" s="122"/>
      <c r="P41" s="122"/>
      <c r="Q41" s="122"/>
      <c r="R41" s="122"/>
      <c r="S41" s="122"/>
      <c r="T41" s="122"/>
      <c r="U41" s="122"/>
      <c r="V41" s="122"/>
      <c r="W41" s="122"/>
      <c r="X41" s="122"/>
      <c r="Y41" s="122"/>
    </row>
    <row r="42" spans="1:25" s="139" customFormat="1" ht="48.75" customHeight="1">
      <c r="A42" s="366"/>
      <c r="B42" s="125">
        <v>2</v>
      </c>
      <c r="C42" s="133" t="s">
        <v>138</v>
      </c>
      <c r="D42" s="310">
        <f>191+213+135+69.5+44.5+33.7+10+64.5+68.5+25+500+100</f>
        <v>1454.7</v>
      </c>
      <c r="E42" s="136" t="s">
        <v>6</v>
      </c>
      <c r="F42" s="310">
        <v>4576.99</v>
      </c>
      <c r="G42" s="310">
        <f>D42*F42</f>
        <v>6658147.3530000001</v>
      </c>
      <c r="H42" s="122">
        <f>566+144</f>
        <v>710</v>
      </c>
      <c r="I42" s="122"/>
      <c r="J42" s="122"/>
      <c r="K42" s="122"/>
      <c r="L42" s="122"/>
      <c r="M42" s="122"/>
      <c r="N42" s="122"/>
      <c r="O42" s="122"/>
      <c r="P42" s="122"/>
      <c r="Q42" s="122"/>
      <c r="R42" s="122"/>
      <c r="S42" s="122"/>
      <c r="T42" s="122"/>
      <c r="U42" s="122"/>
      <c r="V42" s="122"/>
      <c r="W42" s="122"/>
      <c r="X42" s="122"/>
      <c r="Y42" s="122"/>
    </row>
    <row r="43" spans="1:25" s="139" customFormat="1" ht="48.75" customHeight="1">
      <c r="A43" s="366"/>
      <c r="B43" s="125">
        <v>3</v>
      </c>
      <c r="C43" s="133" t="s">
        <v>139</v>
      </c>
      <c r="D43" s="310"/>
      <c r="E43" s="136"/>
      <c r="F43" s="310"/>
      <c r="G43" s="310"/>
      <c r="H43" s="122"/>
      <c r="I43" s="122"/>
      <c r="J43" s="122"/>
      <c r="K43" s="122"/>
      <c r="L43" s="122"/>
      <c r="M43" s="122"/>
      <c r="N43" s="122"/>
      <c r="O43" s="142">
        <f>D42+D44+D47+D50+D58+D61+D64+D67+D68+D69+D75+D74+D35+D34+D38</f>
        <v>78599.361999999994</v>
      </c>
      <c r="P43" s="122"/>
      <c r="Q43" s="122"/>
      <c r="R43" s="122"/>
      <c r="S43" s="122"/>
      <c r="T43" s="122"/>
      <c r="U43" s="122"/>
      <c r="V43" s="122"/>
      <c r="W43" s="122"/>
      <c r="X43" s="122"/>
      <c r="Y43" s="122"/>
    </row>
    <row r="44" spans="1:25" s="139" customFormat="1" ht="21" customHeight="1">
      <c r="A44" s="366"/>
      <c r="B44" s="125"/>
      <c r="C44" s="133" t="s">
        <v>257</v>
      </c>
      <c r="D44" s="310">
        <f>121+344+4812+100+36</f>
        <v>5413</v>
      </c>
      <c r="E44" s="136" t="s">
        <v>6</v>
      </c>
      <c r="F44" s="310">
        <v>5868.53</v>
      </c>
      <c r="G44" s="310">
        <f>D44*F44</f>
        <v>31766352.889999997</v>
      </c>
      <c r="H44" s="122">
        <v>4795</v>
      </c>
      <c r="I44" s="122"/>
      <c r="J44" s="122"/>
      <c r="K44" s="122"/>
      <c r="L44" s="122"/>
      <c r="M44" s="122"/>
      <c r="N44" s="122"/>
      <c r="O44" s="122"/>
      <c r="P44" s="122"/>
      <c r="Q44" s="122"/>
      <c r="R44" s="122"/>
      <c r="S44" s="122"/>
      <c r="T44" s="122"/>
      <c r="U44" s="122"/>
      <c r="V44" s="122"/>
      <c r="W44" s="122"/>
      <c r="X44" s="122"/>
      <c r="Y44" s="122"/>
    </row>
    <row r="45" spans="1:25" s="139" customFormat="1" ht="21" customHeight="1">
      <c r="A45" s="366"/>
      <c r="B45" s="125"/>
      <c r="C45" s="133" t="s">
        <v>258</v>
      </c>
      <c r="D45" s="310">
        <f>277+1419+230</f>
        <v>1926</v>
      </c>
      <c r="E45" s="136" t="s">
        <v>6</v>
      </c>
      <c r="F45" s="310">
        <v>6025.2</v>
      </c>
      <c r="G45" s="310">
        <f>D45*F45</f>
        <v>11604535.199999999</v>
      </c>
      <c r="H45" s="122">
        <v>277</v>
      </c>
      <c r="I45" s="122"/>
      <c r="J45" s="122"/>
      <c r="K45" s="122"/>
      <c r="L45" s="122"/>
      <c r="M45" s="122"/>
      <c r="N45" s="122"/>
      <c r="O45" s="122"/>
      <c r="P45" s="122">
        <v>1419</v>
      </c>
      <c r="Q45" s="122"/>
      <c r="R45" s="122"/>
      <c r="S45" s="122"/>
      <c r="T45" s="122"/>
      <c r="U45" s="122"/>
      <c r="V45" s="122"/>
      <c r="W45" s="122"/>
      <c r="X45" s="122"/>
      <c r="Y45" s="122"/>
    </row>
    <row r="46" spans="1:25" s="139" customFormat="1" ht="42.75">
      <c r="A46" s="366"/>
      <c r="B46" s="125">
        <v>4</v>
      </c>
      <c r="C46" s="133" t="s">
        <v>142</v>
      </c>
      <c r="D46" s="310"/>
      <c r="E46" s="136"/>
      <c r="F46" s="310"/>
      <c r="G46" s="310"/>
      <c r="H46" s="122"/>
      <c r="I46" s="122"/>
      <c r="J46" s="122"/>
      <c r="K46" s="122"/>
      <c r="L46" s="122"/>
      <c r="M46" s="122"/>
      <c r="N46" s="122"/>
      <c r="O46" s="122"/>
      <c r="P46" s="122"/>
      <c r="Q46" s="122"/>
      <c r="R46" s="122"/>
      <c r="S46" s="122"/>
      <c r="T46" s="122"/>
      <c r="U46" s="122"/>
      <c r="V46" s="122"/>
      <c r="W46" s="122"/>
      <c r="X46" s="122"/>
      <c r="Y46" s="122"/>
    </row>
    <row r="47" spans="1:25" s="139" customFormat="1" ht="20.25" customHeight="1">
      <c r="A47" s="366"/>
      <c r="B47" s="125"/>
      <c r="C47" s="133" t="s">
        <v>143</v>
      </c>
      <c r="D47" s="310">
        <f>4416+488.2+1345+125+50+15</f>
        <v>6439.2</v>
      </c>
      <c r="E47" s="136" t="s">
        <v>6</v>
      </c>
      <c r="F47" s="310">
        <v>6577.18850085551</v>
      </c>
      <c r="G47" s="310">
        <f>D47*F47</f>
        <v>42351832.194708802</v>
      </c>
      <c r="H47" s="122">
        <f>4330+566</f>
        <v>4896</v>
      </c>
      <c r="I47" s="122"/>
      <c r="J47" s="122"/>
      <c r="K47" s="122"/>
      <c r="L47" s="122"/>
      <c r="M47" s="122"/>
      <c r="N47" s="122"/>
      <c r="O47" s="122"/>
      <c r="P47" s="122"/>
      <c r="Q47" s="122"/>
      <c r="R47" s="122"/>
      <c r="S47" s="122"/>
      <c r="T47" s="122"/>
      <c r="U47" s="122"/>
      <c r="V47" s="122"/>
      <c r="W47" s="122"/>
      <c r="X47" s="122"/>
      <c r="Y47" s="122"/>
    </row>
    <row r="48" spans="1:25" s="139" customFormat="1" ht="20.25" customHeight="1">
      <c r="A48" s="366"/>
      <c r="B48" s="125"/>
      <c r="C48" s="133" t="s">
        <v>144</v>
      </c>
      <c r="D48" s="310">
        <f>425+846+639</f>
        <v>1910</v>
      </c>
      <c r="E48" s="136" t="s">
        <v>6</v>
      </c>
      <c r="F48" s="310">
        <v>6733.8606354961657</v>
      </c>
      <c r="G48" s="310">
        <f>F48*D48</f>
        <v>12861673.813797677</v>
      </c>
      <c r="H48" s="122"/>
      <c r="I48" s="122"/>
      <c r="J48" s="122"/>
      <c r="K48" s="122"/>
      <c r="L48" s="122"/>
      <c r="M48" s="122"/>
      <c r="N48" s="122"/>
      <c r="O48" s="122"/>
      <c r="P48" s="122"/>
      <c r="Q48" s="122"/>
      <c r="R48" s="122"/>
      <c r="S48" s="122"/>
      <c r="T48" s="122"/>
      <c r="U48" s="122"/>
      <c r="V48" s="122"/>
      <c r="W48" s="122"/>
      <c r="X48" s="122"/>
      <c r="Y48" s="122"/>
    </row>
    <row r="49" spans="1:25" s="139" customFormat="1" ht="44.25" customHeight="1">
      <c r="A49" s="366"/>
      <c r="B49" s="125">
        <v>5</v>
      </c>
      <c r="C49" s="133" t="s">
        <v>145</v>
      </c>
      <c r="D49" s="310"/>
      <c r="E49" s="136"/>
      <c r="F49" s="310"/>
      <c r="G49" s="310"/>
      <c r="H49" s="122"/>
      <c r="I49" s="122"/>
      <c r="J49" s="122"/>
      <c r="K49" s="122"/>
      <c r="L49" s="122"/>
      <c r="M49" s="122"/>
      <c r="N49" s="122"/>
      <c r="O49" s="122"/>
      <c r="P49" s="122"/>
      <c r="Q49" s="122"/>
      <c r="R49" s="122"/>
      <c r="S49" s="122"/>
      <c r="T49" s="122"/>
      <c r="U49" s="122"/>
      <c r="V49" s="122"/>
      <c r="W49" s="122"/>
      <c r="X49" s="122"/>
      <c r="Y49" s="122"/>
    </row>
    <row r="50" spans="1:25" s="139" customFormat="1" ht="21.75" customHeight="1">
      <c r="A50" s="366"/>
      <c r="B50" s="125"/>
      <c r="C50" s="133" t="s">
        <v>146</v>
      </c>
      <c r="D50" s="310">
        <f>630+1260+490+325+333+1750+1623+150+316</f>
        <v>6877</v>
      </c>
      <c r="E50" s="136" t="s">
        <v>6</v>
      </c>
      <c r="F50" s="310">
        <v>7285.8483949228903</v>
      </c>
      <c r="G50" s="310">
        <f>D50*F50</f>
        <v>50104779.411884718</v>
      </c>
      <c r="H50" s="122"/>
      <c r="I50" s="122"/>
      <c r="J50" s="122"/>
      <c r="K50" s="122"/>
      <c r="L50" s="122"/>
      <c r="M50" s="122"/>
      <c r="N50" s="122"/>
      <c r="O50" s="122"/>
      <c r="P50" s="122"/>
      <c r="Q50" s="122"/>
      <c r="R50" s="122"/>
      <c r="S50" s="130"/>
      <c r="T50" s="122"/>
      <c r="U50" s="122"/>
      <c r="V50" s="122"/>
      <c r="W50" s="122"/>
      <c r="X50" s="122"/>
      <c r="Y50" s="122"/>
    </row>
    <row r="51" spans="1:25" s="139" customFormat="1" ht="21.75" hidden="1" customHeight="1">
      <c r="A51" s="366"/>
      <c r="B51" s="125"/>
      <c r="C51" s="133" t="s">
        <v>147</v>
      </c>
      <c r="D51" s="310"/>
      <c r="E51" s="136" t="s">
        <v>6</v>
      </c>
      <c r="F51" s="310">
        <v>7442.5205295635496</v>
      </c>
      <c r="G51" s="310">
        <f t="shared" ref="G51:G54" si="7">D51*F51</f>
        <v>0</v>
      </c>
      <c r="H51" s="122"/>
      <c r="I51" s="122"/>
      <c r="J51" s="122"/>
      <c r="K51" s="122"/>
      <c r="L51" s="122"/>
      <c r="M51" s="122"/>
      <c r="N51" s="122"/>
      <c r="O51" s="122"/>
      <c r="P51" s="122"/>
      <c r="Q51" s="122"/>
      <c r="R51" s="122"/>
      <c r="S51" s="122"/>
      <c r="T51" s="122"/>
      <c r="U51" s="122"/>
      <c r="V51" s="122"/>
      <c r="W51" s="122"/>
      <c r="X51" s="122"/>
      <c r="Y51" s="122"/>
    </row>
    <row r="52" spans="1:25" s="139" customFormat="1" ht="21.75" hidden="1" customHeight="1">
      <c r="A52" s="366"/>
      <c r="B52" s="125"/>
      <c r="C52" s="133" t="s">
        <v>148</v>
      </c>
      <c r="D52" s="310"/>
      <c r="E52" s="136" t="s">
        <v>6</v>
      </c>
      <c r="F52" s="320">
        <v>7595.9612256065384</v>
      </c>
      <c r="G52" s="310">
        <f t="shared" si="7"/>
        <v>0</v>
      </c>
      <c r="H52" s="122"/>
      <c r="I52" s="122"/>
      <c r="J52" s="122"/>
      <c r="K52" s="122"/>
      <c r="L52" s="122"/>
      <c r="M52" s="122"/>
      <c r="N52" s="122"/>
      <c r="O52" s="122"/>
      <c r="P52" s="122"/>
      <c r="Q52" s="122"/>
      <c r="R52" s="122"/>
      <c r="S52" s="122"/>
      <c r="T52" s="122"/>
      <c r="U52" s="122"/>
      <c r="V52" s="122"/>
      <c r="W52" s="122"/>
      <c r="X52" s="122"/>
      <c r="Y52" s="122"/>
    </row>
    <row r="53" spans="1:25" s="139" customFormat="1" ht="21.75" hidden="1" customHeight="1">
      <c r="A53" s="366"/>
      <c r="B53" s="125"/>
      <c r="C53" s="133" t="s">
        <v>149</v>
      </c>
      <c r="D53" s="310"/>
      <c r="E53" s="136" t="s">
        <v>6</v>
      </c>
      <c r="F53" s="310">
        <v>14450.319994474561</v>
      </c>
      <c r="G53" s="310">
        <f t="shared" si="7"/>
        <v>0</v>
      </c>
      <c r="H53" s="122"/>
      <c r="I53" s="122"/>
      <c r="J53" s="122"/>
      <c r="K53" s="122"/>
      <c r="L53" s="122"/>
      <c r="M53" s="122"/>
      <c r="N53" s="122"/>
      <c r="O53" s="122"/>
      <c r="P53" s="122"/>
      <c r="Q53" s="122"/>
      <c r="R53" s="122"/>
      <c r="S53" s="130"/>
      <c r="T53" s="122"/>
      <c r="U53" s="122"/>
      <c r="V53" s="122"/>
      <c r="W53" s="122"/>
      <c r="X53" s="122"/>
      <c r="Y53" s="122"/>
    </row>
    <row r="54" spans="1:25" s="139" customFormat="1" ht="48" customHeight="1">
      <c r="A54" s="366"/>
      <c r="B54" s="125">
        <v>6</v>
      </c>
      <c r="C54" s="133" t="s">
        <v>150</v>
      </c>
      <c r="D54" s="310">
        <f>978+111+111.6+121+354.6+121.5+87.4+225.3+65.8+122.1+74.5+65.3+121.4+25.6+66.8+21.5+24.85+32.25+25+15.75+10+10+20+10+30+124+10+120+41</f>
        <v>3146.2500000000005</v>
      </c>
      <c r="E54" s="136" t="s">
        <v>29</v>
      </c>
      <c r="F54" s="310">
        <v>75718.77</v>
      </c>
      <c r="G54" s="310">
        <f t="shared" si="7"/>
        <v>238230180.11250004</v>
      </c>
      <c r="H54" s="122"/>
      <c r="I54" s="122"/>
      <c r="J54" s="122"/>
      <c r="K54" s="122"/>
      <c r="L54" s="122"/>
      <c r="M54" s="122"/>
      <c r="N54" s="122"/>
      <c r="O54" s="122"/>
      <c r="P54" s="122">
        <v>1958</v>
      </c>
      <c r="Q54" s="122"/>
      <c r="R54" s="122"/>
      <c r="S54" s="122"/>
      <c r="T54" s="122"/>
      <c r="U54" s="122"/>
      <c r="V54" s="122"/>
      <c r="W54" s="122"/>
      <c r="X54" s="122"/>
      <c r="Y54" s="122"/>
    </row>
    <row r="55" spans="1:25" s="139" customFormat="1" ht="32.25" customHeight="1">
      <c r="A55" s="370" t="s">
        <v>50</v>
      </c>
      <c r="B55" s="125" t="s">
        <v>166</v>
      </c>
      <c r="C55" s="140" t="s">
        <v>43</v>
      </c>
      <c r="D55" s="310"/>
      <c r="E55" s="136"/>
      <c r="F55" s="310"/>
      <c r="G55" s="310"/>
      <c r="H55" s="122"/>
      <c r="I55" s="122"/>
      <c r="J55" s="122"/>
      <c r="K55" s="122"/>
      <c r="L55" s="122"/>
      <c r="M55" s="122"/>
      <c r="N55" s="122"/>
      <c r="O55" s="122"/>
      <c r="P55" s="122"/>
      <c r="Q55" s="122"/>
      <c r="R55" s="122"/>
      <c r="S55" s="122"/>
      <c r="T55" s="122"/>
      <c r="U55" s="122"/>
      <c r="V55" s="122"/>
      <c r="W55" s="122"/>
      <c r="X55" s="122"/>
      <c r="Y55" s="122"/>
    </row>
    <row r="56" spans="1:25" s="139" customFormat="1" ht="33.75" customHeight="1">
      <c r="A56" s="370"/>
      <c r="B56" s="125">
        <v>1</v>
      </c>
      <c r="C56" s="133" t="s">
        <v>13</v>
      </c>
      <c r="D56" s="310"/>
      <c r="E56" s="136"/>
      <c r="F56" s="310"/>
      <c r="G56" s="310"/>
      <c r="H56" s="122"/>
      <c r="I56" s="122"/>
      <c r="J56" s="122"/>
      <c r="K56" s="122"/>
      <c r="L56" s="122"/>
      <c r="M56" s="122"/>
      <c r="N56" s="122"/>
      <c r="O56" s="122"/>
      <c r="P56" s="122"/>
      <c r="Q56" s="122"/>
      <c r="R56" s="122"/>
      <c r="S56" s="122"/>
      <c r="T56" s="122"/>
      <c r="U56" s="122"/>
      <c r="V56" s="122"/>
      <c r="W56" s="122"/>
      <c r="X56" s="122"/>
      <c r="Y56" s="122"/>
    </row>
    <row r="57" spans="1:25" s="139" customFormat="1" ht="16.5" customHeight="1">
      <c r="A57" s="366"/>
      <c r="B57" s="125"/>
      <c r="C57" s="133" t="s">
        <v>11</v>
      </c>
      <c r="D57" s="310">
        <f>7379.4</f>
        <v>7379.4</v>
      </c>
      <c r="E57" s="136" t="s">
        <v>6</v>
      </c>
      <c r="F57" s="310">
        <v>22751</v>
      </c>
      <c r="G57" s="310">
        <f t="shared" ref="G57:G58" si="8">D57*F57</f>
        <v>167888729.40000001</v>
      </c>
      <c r="H57" s="122"/>
      <c r="I57" s="122"/>
      <c r="J57" s="122"/>
      <c r="K57" s="122"/>
      <c r="L57" s="122"/>
      <c r="M57" s="122"/>
      <c r="N57" s="122"/>
      <c r="O57" s="122"/>
      <c r="P57" s="122"/>
      <c r="Q57" s="122"/>
      <c r="R57" s="122"/>
      <c r="S57" s="122"/>
      <c r="T57" s="122"/>
      <c r="U57" s="122"/>
      <c r="V57" s="122"/>
      <c r="W57" s="122"/>
      <c r="X57" s="122"/>
      <c r="Y57" s="122"/>
    </row>
    <row r="58" spans="1:25" s="139" customFormat="1" ht="48.75" customHeight="1">
      <c r="A58" s="366"/>
      <c r="B58" s="125">
        <v>2</v>
      </c>
      <c r="C58" s="133" t="s">
        <v>138</v>
      </c>
      <c r="D58" s="310">
        <f>2041.57+53+19</f>
        <v>2113.5699999999997</v>
      </c>
      <c r="E58" s="136" t="s">
        <v>6</v>
      </c>
      <c r="F58" s="310">
        <v>1076</v>
      </c>
      <c r="G58" s="310">
        <f t="shared" si="8"/>
        <v>2274201.3199999998</v>
      </c>
      <c r="H58" s="122"/>
      <c r="I58" s="122"/>
      <c r="J58" s="122"/>
      <c r="K58" s="122"/>
      <c r="L58" s="122"/>
      <c r="M58" s="122"/>
      <c r="N58" s="122"/>
      <c r="O58" s="122"/>
      <c r="P58" s="122"/>
      <c r="Q58" s="122"/>
      <c r="R58" s="122"/>
      <c r="S58" s="122"/>
      <c r="T58" s="122"/>
      <c r="U58" s="122"/>
      <c r="V58" s="122"/>
      <c r="W58" s="122"/>
      <c r="X58" s="122"/>
      <c r="Y58" s="122"/>
    </row>
    <row r="59" spans="1:25" s="139" customFormat="1" ht="47.25" customHeight="1">
      <c r="A59" s="366"/>
      <c r="B59" s="125">
        <v>3</v>
      </c>
      <c r="C59" s="133" t="s">
        <v>139</v>
      </c>
      <c r="D59" s="310"/>
      <c r="E59" s="136"/>
      <c r="F59" s="310"/>
      <c r="G59" s="310"/>
      <c r="H59" s="122"/>
      <c r="I59" s="122"/>
      <c r="J59" s="122"/>
      <c r="K59" s="122"/>
      <c r="L59" s="122"/>
      <c r="M59" s="122"/>
      <c r="N59" s="122"/>
      <c r="O59" s="122"/>
      <c r="P59" s="122"/>
      <c r="Q59" s="122"/>
      <c r="R59" s="122"/>
      <c r="S59" s="122"/>
      <c r="T59" s="122"/>
      <c r="U59" s="122"/>
      <c r="V59" s="122"/>
      <c r="W59" s="122"/>
      <c r="X59" s="122"/>
      <c r="Y59" s="122"/>
    </row>
    <row r="60" spans="1:25" s="139" customFormat="1" ht="20.25" customHeight="1">
      <c r="A60" s="366"/>
      <c r="B60" s="125"/>
      <c r="C60" s="133" t="s">
        <v>151</v>
      </c>
      <c r="D60" s="310"/>
      <c r="E60" s="136" t="s">
        <v>6</v>
      </c>
      <c r="F60" s="310">
        <v>3131</v>
      </c>
      <c r="G60" s="310">
        <f t="shared" ref="G60:G61" si="9">D60*F60</f>
        <v>0</v>
      </c>
      <c r="H60" s="122"/>
      <c r="I60" s="122"/>
      <c r="J60" s="122"/>
      <c r="K60" s="122"/>
      <c r="L60" s="122"/>
      <c r="M60" s="122"/>
      <c r="N60" s="122"/>
      <c r="O60" s="122"/>
      <c r="P60" s="122"/>
      <c r="Q60" s="122"/>
      <c r="R60" s="122"/>
      <c r="S60" s="122"/>
      <c r="T60" s="122"/>
      <c r="U60" s="122"/>
      <c r="V60" s="122"/>
      <c r="W60" s="122"/>
      <c r="X60" s="122"/>
      <c r="Y60" s="122"/>
    </row>
    <row r="61" spans="1:25" s="139" customFormat="1" ht="20.25" customHeight="1">
      <c r="A61" s="366"/>
      <c r="B61" s="125"/>
      <c r="C61" s="133" t="s">
        <v>152</v>
      </c>
      <c r="D61" s="310">
        <f>2832.97+230+250+277+148</f>
        <v>3737.97</v>
      </c>
      <c r="E61" s="136" t="s">
        <v>6</v>
      </c>
      <c r="F61" s="310">
        <v>5985</v>
      </c>
      <c r="G61" s="310">
        <f t="shared" si="9"/>
        <v>22371750.449999999</v>
      </c>
      <c r="H61" s="122">
        <v>277</v>
      </c>
      <c r="I61" s="122"/>
      <c r="J61" s="122"/>
      <c r="K61" s="122"/>
      <c r="L61" s="122"/>
      <c r="M61" s="122"/>
      <c r="N61" s="122"/>
      <c r="O61" s="122"/>
      <c r="P61" s="122"/>
      <c r="Q61" s="122"/>
      <c r="R61" s="122"/>
      <c r="S61" s="122"/>
      <c r="T61" s="122"/>
      <c r="U61" s="122"/>
      <c r="V61" s="122"/>
      <c r="W61" s="122"/>
      <c r="X61" s="122"/>
      <c r="Y61" s="122"/>
    </row>
    <row r="62" spans="1:25" s="139" customFormat="1" ht="47.25" customHeight="1">
      <c r="A62" s="366"/>
      <c r="B62" s="125">
        <v>4</v>
      </c>
      <c r="C62" s="133" t="s">
        <v>153</v>
      </c>
      <c r="D62" s="310"/>
      <c r="E62" s="136"/>
      <c r="F62" s="310"/>
      <c r="G62" s="310"/>
      <c r="H62" s="122"/>
      <c r="I62" s="122"/>
      <c r="J62" s="122"/>
      <c r="K62" s="122"/>
      <c r="L62" s="122"/>
      <c r="M62" s="122"/>
      <c r="N62" s="122"/>
      <c r="O62" s="122"/>
      <c r="P62" s="122"/>
      <c r="Q62" s="122"/>
      <c r="R62" s="122"/>
      <c r="S62" s="122"/>
      <c r="T62" s="122"/>
      <c r="U62" s="122"/>
      <c r="V62" s="122"/>
      <c r="W62" s="122"/>
      <c r="X62" s="122"/>
      <c r="Y62" s="122"/>
    </row>
    <row r="63" spans="1:25" s="139" customFormat="1" ht="18.75" customHeight="1">
      <c r="A63" s="366"/>
      <c r="B63" s="125"/>
      <c r="C63" s="133" t="s">
        <v>154</v>
      </c>
      <c r="D63" s="310">
        <v>50</v>
      </c>
      <c r="E63" s="136" t="s">
        <v>6</v>
      </c>
      <c r="F63" s="310">
        <v>6577.18850085551</v>
      </c>
      <c r="G63" s="310">
        <f t="shared" ref="G63:G64" si="10">D63*F63</f>
        <v>328859.42504277552</v>
      </c>
      <c r="H63" s="122"/>
      <c r="I63" s="122"/>
      <c r="J63" s="122"/>
      <c r="K63" s="122"/>
      <c r="L63" s="122"/>
      <c r="M63" s="122"/>
      <c r="N63" s="122"/>
      <c r="O63" s="122"/>
      <c r="P63" s="122"/>
      <c r="Q63" s="122"/>
      <c r="R63" s="122"/>
      <c r="S63" s="122"/>
      <c r="T63" s="122"/>
      <c r="U63" s="122"/>
      <c r="V63" s="122"/>
      <c r="W63" s="122"/>
      <c r="X63" s="122"/>
      <c r="Y63" s="122"/>
    </row>
    <row r="64" spans="1:25" s="139" customFormat="1" ht="18.75" customHeight="1">
      <c r="A64" s="366"/>
      <c r="B64" s="125"/>
      <c r="C64" s="133" t="s">
        <v>155</v>
      </c>
      <c r="D64" s="310">
        <f>1307.76+425+132.75</f>
        <v>1865.51</v>
      </c>
      <c r="E64" s="136" t="s">
        <v>6</v>
      </c>
      <c r="F64" s="310">
        <v>6733.8606354961657</v>
      </c>
      <c r="G64" s="310">
        <f t="shared" si="10"/>
        <v>12562084.354124453</v>
      </c>
      <c r="H64" s="122">
        <v>425</v>
      </c>
      <c r="I64" s="122"/>
      <c r="J64" s="122"/>
      <c r="K64" s="122"/>
      <c r="L64" s="122"/>
      <c r="M64" s="122"/>
      <c r="N64" s="122"/>
      <c r="O64" s="122"/>
      <c r="P64" s="122"/>
      <c r="Q64" s="122"/>
      <c r="R64" s="122"/>
      <c r="S64" s="122"/>
      <c r="T64" s="122"/>
      <c r="U64" s="122"/>
      <c r="V64" s="122"/>
      <c r="W64" s="122"/>
      <c r="X64" s="122"/>
      <c r="Y64" s="122"/>
    </row>
    <row r="65" spans="1:25" s="139" customFormat="1" ht="45.75" customHeight="1">
      <c r="A65" s="366"/>
      <c r="B65" s="125">
        <v>5</v>
      </c>
      <c r="C65" s="133" t="s">
        <v>156</v>
      </c>
      <c r="D65" s="310"/>
      <c r="E65" s="136"/>
      <c r="F65" s="310"/>
      <c r="G65" s="310"/>
      <c r="H65" s="122"/>
      <c r="I65" s="122"/>
      <c r="J65" s="122"/>
      <c r="K65" s="122"/>
      <c r="L65" s="122"/>
      <c r="M65" s="122"/>
      <c r="N65" s="122"/>
      <c r="O65" s="122"/>
      <c r="P65" s="122"/>
      <c r="Q65" s="130"/>
      <c r="R65" s="122"/>
      <c r="S65" s="122"/>
      <c r="T65" s="122"/>
      <c r="U65" s="122"/>
      <c r="V65" s="122"/>
      <c r="W65" s="122"/>
      <c r="X65" s="122"/>
      <c r="Y65" s="122"/>
    </row>
    <row r="66" spans="1:25" s="139" customFormat="1" ht="23.25" customHeight="1">
      <c r="A66" s="366"/>
      <c r="B66" s="125"/>
      <c r="C66" s="133" t="s">
        <v>146</v>
      </c>
      <c r="D66" s="310">
        <v>9</v>
      </c>
      <c r="E66" s="136" t="s">
        <v>6</v>
      </c>
      <c r="F66" s="310">
        <v>7285.8483949228903</v>
      </c>
      <c r="G66" s="310">
        <f t="shared" ref="G66:G69" si="11">D66*F66</f>
        <v>65572.635554306005</v>
      </c>
      <c r="H66" s="122">
        <v>9</v>
      </c>
      <c r="I66" s="122"/>
      <c r="J66" s="122"/>
      <c r="K66" s="122"/>
      <c r="L66" s="122"/>
      <c r="M66" s="122"/>
      <c r="N66" s="122"/>
      <c r="O66" s="122"/>
      <c r="P66" s="122"/>
      <c r="Q66" s="122"/>
      <c r="R66" s="122"/>
      <c r="S66" s="122"/>
      <c r="T66" s="122"/>
      <c r="U66" s="122"/>
      <c r="V66" s="122"/>
      <c r="W66" s="122"/>
      <c r="X66" s="122"/>
      <c r="Y66" s="122"/>
    </row>
    <row r="67" spans="1:25" s="139" customFormat="1" ht="23.25" customHeight="1">
      <c r="A67" s="366"/>
      <c r="B67" s="125"/>
      <c r="C67" s="133" t="s">
        <v>147</v>
      </c>
      <c r="D67" s="310">
        <f>354.33+100+40+74</f>
        <v>568.32999999999993</v>
      </c>
      <c r="E67" s="136" t="s">
        <v>6</v>
      </c>
      <c r="F67" s="310">
        <v>7442.5205295635469</v>
      </c>
      <c r="G67" s="310">
        <f t="shared" si="11"/>
        <v>4229807.6925668502</v>
      </c>
      <c r="H67" s="122">
        <v>40</v>
      </c>
      <c r="I67" s="122"/>
      <c r="J67" s="122"/>
      <c r="K67" s="122"/>
      <c r="L67" s="122"/>
      <c r="M67" s="122"/>
      <c r="N67" s="122"/>
      <c r="O67" s="122"/>
      <c r="P67" s="122"/>
      <c r="Q67" s="122"/>
      <c r="R67" s="122"/>
      <c r="S67" s="122"/>
      <c r="T67" s="122"/>
      <c r="U67" s="122"/>
      <c r="V67" s="122"/>
      <c r="W67" s="122"/>
      <c r="X67" s="122"/>
      <c r="Y67" s="122"/>
    </row>
    <row r="68" spans="1:25" s="139" customFormat="1" ht="23.25" customHeight="1">
      <c r="A68" s="366"/>
      <c r="B68" s="125"/>
      <c r="C68" s="133" t="s">
        <v>148</v>
      </c>
      <c r="D68" s="310">
        <f>601+120+55+133+100</f>
        <v>1009</v>
      </c>
      <c r="E68" s="136" t="s">
        <v>6</v>
      </c>
      <c r="F68" s="320">
        <v>7595.9612256065384</v>
      </c>
      <c r="G68" s="310">
        <f t="shared" si="11"/>
        <v>7664324.8766369969</v>
      </c>
      <c r="H68" s="122">
        <v>55</v>
      </c>
      <c r="I68" s="122"/>
      <c r="J68" s="122"/>
      <c r="K68" s="122"/>
      <c r="L68" s="122"/>
      <c r="M68" s="122"/>
      <c r="N68" s="122"/>
      <c r="O68" s="122"/>
      <c r="P68" s="122"/>
      <c r="Q68" s="122"/>
      <c r="R68" s="122"/>
      <c r="S68" s="122"/>
      <c r="T68" s="122"/>
      <c r="U68" s="122"/>
      <c r="V68" s="122"/>
      <c r="W68" s="122"/>
      <c r="X68" s="122"/>
      <c r="Y68" s="122"/>
    </row>
    <row r="69" spans="1:25" s="139" customFormat="1" ht="23.25" customHeight="1">
      <c r="A69" s="366"/>
      <c r="B69" s="125"/>
      <c r="C69" s="315" t="s">
        <v>259</v>
      </c>
      <c r="D69" s="310">
        <f>1202+14.5+208.5</f>
        <v>1425</v>
      </c>
      <c r="E69" s="136" t="s">
        <v>6</v>
      </c>
      <c r="F69" s="310">
        <v>14450.319994474561</v>
      </c>
      <c r="G69" s="310">
        <f t="shared" si="11"/>
        <v>20591705.992126249</v>
      </c>
      <c r="H69" s="122"/>
      <c r="I69" s="122"/>
      <c r="J69" s="122"/>
      <c r="K69" s="122"/>
      <c r="L69" s="122"/>
      <c r="M69" s="122"/>
      <c r="N69" s="122"/>
      <c r="O69" s="122"/>
      <c r="P69" s="122"/>
      <c r="Q69" s="122"/>
      <c r="R69" s="122"/>
      <c r="S69" s="122"/>
      <c r="T69" s="122"/>
      <c r="U69" s="122"/>
      <c r="V69" s="122"/>
      <c r="W69" s="122"/>
      <c r="X69" s="122"/>
      <c r="Y69" s="122"/>
    </row>
    <row r="70" spans="1:25" s="139" customFormat="1" ht="42.75">
      <c r="A70" s="366"/>
      <c r="B70" s="125">
        <v>6</v>
      </c>
      <c r="C70" s="133" t="s">
        <v>177</v>
      </c>
      <c r="D70" s="310">
        <f>259.896+28+10+50+100+100+10+40+16+5+46</f>
        <v>664.89599999999996</v>
      </c>
      <c r="E70" s="136" t="s">
        <v>29</v>
      </c>
      <c r="F70" s="310">
        <f>F54</f>
        <v>75718.77</v>
      </c>
      <c r="G70" s="310">
        <f>D70*F70</f>
        <v>50345107.297919996</v>
      </c>
      <c r="H70" s="122"/>
      <c r="I70" s="122"/>
      <c r="J70" s="122"/>
      <c r="K70" s="122"/>
      <c r="L70" s="122"/>
      <c r="M70" s="122"/>
      <c r="N70" s="122"/>
      <c r="O70" s="122"/>
      <c r="P70" s="122">
        <v>612</v>
      </c>
      <c r="Q70" s="122"/>
      <c r="R70" s="122"/>
      <c r="S70" s="122"/>
      <c r="T70" s="122"/>
      <c r="U70" s="122"/>
      <c r="V70" s="122"/>
      <c r="W70" s="122"/>
      <c r="X70" s="122"/>
      <c r="Y70" s="122"/>
    </row>
    <row r="71" spans="1:25" s="139" customFormat="1" ht="32.25" customHeight="1">
      <c r="A71" s="366"/>
      <c r="B71" s="333" t="s">
        <v>167</v>
      </c>
      <c r="C71" s="140" t="s">
        <v>115</v>
      </c>
      <c r="D71" s="310"/>
      <c r="E71" s="136"/>
      <c r="F71" s="312"/>
      <c r="G71" s="310"/>
      <c r="H71" s="142"/>
      <c r="I71" s="122"/>
      <c r="J71" s="122"/>
      <c r="K71" s="122"/>
      <c r="L71" s="122"/>
      <c r="M71" s="122"/>
      <c r="N71" s="122"/>
      <c r="O71" s="122"/>
      <c r="P71" s="122"/>
      <c r="Q71" s="122"/>
      <c r="R71" s="122"/>
      <c r="S71" s="122"/>
      <c r="T71" s="122"/>
      <c r="U71" s="122"/>
      <c r="V71" s="122"/>
      <c r="W71" s="122"/>
      <c r="X71" s="122"/>
      <c r="Y71" s="122"/>
    </row>
    <row r="72" spans="1:25" s="326" customFormat="1" ht="39" customHeight="1">
      <c r="A72" s="369"/>
      <c r="B72" s="321">
        <v>1</v>
      </c>
      <c r="C72" s="308" t="s">
        <v>158</v>
      </c>
      <c r="D72" s="310"/>
      <c r="E72" s="136"/>
      <c r="F72" s="310"/>
      <c r="G72" s="310"/>
      <c r="H72" s="324"/>
      <c r="I72" s="325"/>
      <c r="J72" s="325"/>
      <c r="K72" s="325"/>
      <c r="L72" s="325"/>
      <c r="M72" s="325"/>
      <c r="N72" s="325"/>
      <c r="O72" s="325"/>
      <c r="P72" s="325"/>
      <c r="Q72" s="325"/>
      <c r="R72" s="325"/>
      <c r="S72" s="325"/>
      <c r="T72" s="325"/>
      <c r="U72" s="325"/>
      <c r="V72" s="325"/>
      <c r="W72" s="325"/>
      <c r="X72" s="325"/>
      <c r="Y72" s="325"/>
    </row>
    <row r="73" spans="1:25" s="326" customFormat="1" ht="21" customHeight="1">
      <c r="A73" s="369"/>
      <c r="B73" s="319"/>
      <c r="C73" s="133" t="s">
        <v>55</v>
      </c>
      <c r="D73" s="310">
        <f>8368.75+2500</f>
        <v>10868.75</v>
      </c>
      <c r="E73" s="136" t="s">
        <v>58</v>
      </c>
      <c r="F73" s="310">
        <v>96.906337141238524</v>
      </c>
      <c r="G73" s="310">
        <f t="shared" ref="G73:G76" si="12">D73*F73</f>
        <v>1053250.7518038363</v>
      </c>
      <c r="H73" s="324"/>
      <c r="I73" s="325"/>
      <c r="J73" s="325"/>
      <c r="K73" s="325"/>
      <c r="L73" s="325"/>
      <c r="M73" s="325"/>
      <c r="N73" s="325"/>
      <c r="O73" s="325"/>
      <c r="P73" s="325"/>
      <c r="Q73" s="325"/>
      <c r="R73" s="325"/>
      <c r="S73" s="325"/>
      <c r="T73" s="325"/>
      <c r="U73" s="325"/>
      <c r="V73" s="325"/>
      <c r="W73" s="325"/>
      <c r="X73" s="325"/>
      <c r="Y73" s="325"/>
    </row>
    <row r="74" spans="1:25" s="326" customFormat="1" ht="21" customHeight="1">
      <c r="A74" s="369"/>
      <c r="B74" s="319"/>
      <c r="C74" s="133" t="s">
        <v>56</v>
      </c>
      <c r="D74" s="310">
        <f>950.75+500+50+15</f>
        <v>1515.75</v>
      </c>
      <c r="E74" s="136" t="s">
        <v>58</v>
      </c>
      <c r="F74" s="310">
        <v>4576.9924799748396</v>
      </c>
      <c r="G74" s="310">
        <f t="shared" si="12"/>
        <v>6937576.3515218636</v>
      </c>
      <c r="H74" s="324"/>
      <c r="I74" s="325"/>
      <c r="J74" s="325"/>
      <c r="K74" s="325"/>
      <c r="L74" s="327"/>
      <c r="M74" s="327"/>
      <c r="N74" s="325"/>
      <c r="O74" s="325"/>
      <c r="P74" s="325"/>
      <c r="Q74" s="325"/>
      <c r="R74" s="325"/>
      <c r="S74" s="325"/>
      <c r="T74" s="325"/>
      <c r="U74" s="325"/>
      <c r="V74" s="325"/>
      <c r="W74" s="325"/>
      <c r="X74" s="325"/>
      <c r="Y74" s="325"/>
    </row>
    <row r="75" spans="1:25" s="326" customFormat="1" ht="21" customHeight="1">
      <c r="A75" s="369"/>
      <c r="B75" s="319"/>
      <c r="C75" s="133" t="s">
        <v>57</v>
      </c>
      <c r="D75" s="310">
        <f>8362.9+1000+216+200+400</f>
        <v>10178.9</v>
      </c>
      <c r="E75" s="136" t="s">
        <v>58</v>
      </c>
      <c r="F75" s="310">
        <v>5868.5286067881307</v>
      </c>
      <c r="G75" s="310">
        <f t="shared" si="12"/>
        <v>59735165.835635699</v>
      </c>
      <c r="H75" s="324"/>
      <c r="I75" s="325"/>
      <c r="J75" s="325"/>
      <c r="K75" s="325"/>
      <c r="L75" s="325"/>
      <c r="M75" s="325"/>
      <c r="N75" s="325"/>
      <c r="O75" s="325"/>
      <c r="P75" s="325"/>
      <c r="Q75" s="325"/>
      <c r="R75" s="325"/>
      <c r="S75" s="325"/>
      <c r="T75" s="325"/>
      <c r="U75" s="325"/>
      <c r="V75" s="325"/>
      <c r="W75" s="325"/>
      <c r="X75" s="325"/>
      <c r="Y75" s="325"/>
    </row>
    <row r="76" spans="1:25" s="326" customFormat="1" ht="21" customHeight="1">
      <c r="A76" s="369"/>
      <c r="B76" s="319"/>
      <c r="C76" s="133" t="s">
        <v>100</v>
      </c>
      <c r="D76" s="310">
        <f>393.7+10+20+40+10+15+10</f>
        <v>498.7</v>
      </c>
      <c r="E76" s="136" t="s">
        <v>29</v>
      </c>
      <c r="F76" s="320">
        <v>75718.769116112453</v>
      </c>
      <c r="G76" s="310">
        <f t="shared" si="12"/>
        <v>37760950.158205278</v>
      </c>
      <c r="H76" s="324"/>
      <c r="I76" s="325"/>
      <c r="J76" s="325"/>
      <c r="K76" s="325"/>
      <c r="L76" s="325"/>
      <c r="M76" s="325"/>
      <c r="N76" s="325"/>
      <c r="O76" s="325"/>
      <c r="P76" s="325"/>
      <c r="Q76" s="325"/>
      <c r="R76" s="325"/>
      <c r="S76" s="325"/>
      <c r="T76" s="325"/>
      <c r="U76" s="325"/>
      <c r="V76" s="325"/>
      <c r="W76" s="325"/>
      <c r="X76" s="325"/>
      <c r="Y76" s="325"/>
    </row>
    <row r="77" spans="1:25" s="326" customFormat="1" ht="21" customHeight="1">
      <c r="A77" s="369"/>
      <c r="B77" s="319"/>
      <c r="C77" s="328"/>
      <c r="D77" s="310"/>
      <c r="E77" s="136"/>
      <c r="F77" s="320"/>
      <c r="G77" s="310"/>
      <c r="H77" s="324"/>
      <c r="I77" s="325"/>
      <c r="J77" s="325"/>
      <c r="K77" s="325"/>
      <c r="L77" s="325"/>
      <c r="M77" s="325"/>
      <c r="N77" s="325"/>
      <c r="O77" s="325"/>
      <c r="P77" s="325"/>
      <c r="Q77" s="325"/>
      <c r="R77" s="325"/>
      <c r="S77" s="325"/>
      <c r="T77" s="325"/>
      <c r="U77" s="325"/>
      <c r="V77" s="325"/>
      <c r="W77" s="325"/>
      <c r="X77" s="325"/>
      <c r="Y77" s="325"/>
    </row>
    <row r="78" spans="1:25" s="326" customFormat="1" ht="21" customHeight="1">
      <c r="A78" s="369"/>
      <c r="B78" s="321">
        <v>2</v>
      </c>
      <c r="C78" s="328" t="s">
        <v>112</v>
      </c>
      <c r="D78" s="310">
        <v>14913</v>
      </c>
      <c r="E78" s="136" t="s">
        <v>106</v>
      </c>
      <c r="F78" s="320">
        <v>5058</v>
      </c>
      <c r="G78" s="310">
        <f>D78*F78</f>
        <v>75429954</v>
      </c>
      <c r="H78" s="324"/>
      <c r="I78" s="325"/>
      <c r="J78" s="325"/>
      <c r="K78" s="325"/>
      <c r="L78" s="325"/>
      <c r="M78" s="325"/>
      <c r="N78" s="325"/>
      <c r="O78" s="325"/>
      <c r="P78" s="325"/>
      <c r="Q78" s="325"/>
      <c r="R78" s="325"/>
      <c r="S78" s="325"/>
      <c r="T78" s="325"/>
      <c r="U78" s="325"/>
      <c r="V78" s="325"/>
      <c r="W78" s="325"/>
      <c r="X78" s="325"/>
      <c r="Y78" s="325"/>
    </row>
    <row r="79" spans="1:25" s="326" customFormat="1" ht="21" customHeight="1">
      <c r="A79" s="369"/>
      <c r="B79" s="321">
        <v>3</v>
      </c>
      <c r="C79" s="328" t="s">
        <v>114</v>
      </c>
      <c r="D79" s="310">
        <v>14913</v>
      </c>
      <c r="E79" s="136" t="s">
        <v>106</v>
      </c>
      <c r="F79" s="320">
        <v>292</v>
      </c>
      <c r="G79" s="310">
        <f>D79*F79</f>
        <v>4354596</v>
      </c>
      <c r="H79" s="324"/>
      <c r="I79" s="325"/>
      <c r="J79" s="325"/>
      <c r="K79" s="325"/>
      <c r="L79" s="325"/>
      <c r="M79" s="325"/>
      <c r="N79" s="325"/>
      <c r="O79" s="325"/>
      <c r="P79" s="325"/>
      <c r="Q79" s="325"/>
      <c r="R79" s="325"/>
      <c r="S79" s="325"/>
      <c r="T79" s="325"/>
      <c r="U79" s="325"/>
      <c r="V79" s="325"/>
      <c r="W79" s="325"/>
      <c r="X79" s="325"/>
      <c r="Y79" s="325"/>
    </row>
    <row r="80" spans="1:25" s="326" customFormat="1" ht="21" customHeight="1">
      <c r="A80" s="369"/>
      <c r="B80" s="321">
        <v>4</v>
      </c>
      <c r="C80" s="328" t="s">
        <v>113</v>
      </c>
      <c r="D80" s="310">
        <v>7100</v>
      </c>
      <c r="E80" s="136" t="s">
        <v>110</v>
      </c>
      <c r="F80" s="320">
        <v>1855</v>
      </c>
      <c r="G80" s="310">
        <f>D80*F80</f>
        <v>13170500</v>
      </c>
      <c r="H80" s="324"/>
      <c r="I80" s="325"/>
      <c r="J80" s="325"/>
      <c r="K80" s="325"/>
      <c r="L80" s="325"/>
      <c r="M80" s="325"/>
      <c r="N80" s="325"/>
      <c r="O80" s="325"/>
      <c r="P80" s="325"/>
      <c r="Q80" s="325"/>
      <c r="R80" s="325"/>
      <c r="S80" s="325"/>
      <c r="T80" s="325"/>
      <c r="U80" s="325"/>
      <c r="V80" s="325"/>
      <c r="W80" s="325"/>
      <c r="X80" s="325"/>
      <c r="Y80" s="325"/>
    </row>
    <row r="81" spans="1:25" s="57" customFormat="1" ht="21" customHeight="1">
      <c r="A81" s="371"/>
      <c r="B81" s="334">
        <f t="shared" ref="B81:B82" si="13">B80+1</f>
        <v>5</v>
      </c>
      <c r="C81" s="329" t="s">
        <v>168</v>
      </c>
      <c r="D81" s="311">
        <v>32619</v>
      </c>
      <c r="E81" s="76" t="s">
        <v>110</v>
      </c>
      <c r="F81" s="322">
        <v>2455.376488344793</v>
      </c>
      <c r="G81" s="311">
        <f t="shared" ref="G81:G82" si="14">D81*F81</f>
        <v>80091925.673318803</v>
      </c>
      <c r="H81" s="324"/>
      <c r="I81" s="346"/>
      <c r="J81" s="347"/>
      <c r="K81" s="343"/>
      <c r="L81" s="348"/>
      <c r="M81" s="349"/>
      <c r="N81" s="346"/>
      <c r="S81" s="57">
        <f>7473+424</f>
        <v>7897</v>
      </c>
    </row>
    <row r="82" spans="1:25" s="57" customFormat="1" ht="21" customHeight="1">
      <c r="A82" s="371"/>
      <c r="B82" s="334">
        <f t="shared" si="13"/>
        <v>6</v>
      </c>
      <c r="C82" s="329" t="s">
        <v>169</v>
      </c>
      <c r="D82" s="337">
        <f>6810</f>
        <v>6810</v>
      </c>
      <c r="E82" s="76" t="s">
        <v>110</v>
      </c>
      <c r="F82" s="322">
        <v>563.70000000000005</v>
      </c>
      <c r="G82" s="311">
        <f t="shared" si="14"/>
        <v>3838797.0000000005</v>
      </c>
      <c r="H82" s="324"/>
      <c r="I82" s="346"/>
      <c r="J82" s="347"/>
      <c r="K82" s="343"/>
      <c r="L82" s="348"/>
      <c r="M82" s="349"/>
      <c r="N82" s="346"/>
    </row>
    <row r="83" spans="1:25" s="309" customFormat="1" ht="21" customHeight="1">
      <c r="A83" s="369"/>
      <c r="B83" s="321">
        <v>5</v>
      </c>
      <c r="C83" s="335" t="s">
        <v>260</v>
      </c>
      <c r="D83" s="310">
        <v>29635</v>
      </c>
      <c r="E83" s="136" t="s">
        <v>110</v>
      </c>
      <c r="F83" s="320">
        <v>4067.0915659519201</v>
      </c>
      <c r="G83" s="310">
        <f>D83*F83</f>
        <v>120528258.55698515</v>
      </c>
      <c r="H83" s="350">
        <f>3168</f>
        <v>3168</v>
      </c>
      <c r="I83" s="325"/>
      <c r="J83" s="339"/>
      <c r="K83" s="194"/>
      <c r="L83" s="327"/>
      <c r="M83" s="351"/>
      <c r="N83" s="325"/>
    </row>
    <row r="84" spans="1:25" s="57" customFormat="1" ht="21" customHeight="1">
      <c r="A84" s="371"/>
      <c r="B84" s="334">
        <f t="shared" ref="B84:B90" si="15">B83+1</f>
        <v>6</v>
      </c>
      <c r="C84" s="330" t="s">
        <v>261</v>
      </c>
      <c r="D84" s="311">
        <v>1259</v>
      </c>
      <c r="E84" s="76" t="s">
        <v>110</v>
      </c>
      <c r="F84" s="322">
        <v>6687.4509303261993</v>
      </c>
      <c r="G84" s="311">
        <f t="shared" ref="G84:G87" si="16">D84*F84</f>
        <v>8419500.7212806847</v>
      </c>
      <c r="H84" s="352"/>
      <c r="I84" s="346"/>
      <c r="J84" s="347"/>
      <c r="K84" s="343"/>
      <c r="L84" s="348"/>
      <c r="M84" s="349"/>
      <c r="N84" s="346"/>
      <c r="Q84" s="57">
        <f>29400</f>
        <v>29400</v>
      </c>
      <c r="R84" s="57">
        <f>16300*4</f>
        <v>65200</v>
      </c>
    </row>
    <row r="85" spans="1:25" s="57" customFormat="1" ht="21" customHeight="1">
      <c r="A85" s="371"/>
      <c r="B85" s="334">
        <f t="shared" si="15"/>
        <v>7</v>
      </c>
      <c r="C85" s="330" t="s">
        <v>275</v>
      </c>
      <c r="D85" s="311">
        <v>135000</v>
      </c>
      <c r="E85" s="76" t="s">
        <v>106</v>
      </c>
      <c r="F85" s="322">
        <v>72</v>
      </c>
      <c r="G85" s="311">
        <f t="shared" si="16"/>
        <v>9720000</v>
      </c>
      <c r="H85" s="352"/>
      <c r="I85" s="346"/>
      <c r="J85" s="347"/>
      <c r="K85" s="343"/>
      <c r="L85" s="348"/>
      <c r="M85" s="349"/>
      <c r="N85" s="346"/>
    </row>
    <row r="86" spans="1:25" s="57" customFormat="1" ht="21" customHeight="1">
      <c r="A86" s="371"/>
      <c r="B86" s="334">
        <f t="shared" si="15"/>
        <v>8</v>
      </c>
      <c r="C86" s="330" t="s">
        <v>274</v>
      </c>
      <c r="D86" s="311">
        <f>1825+500</f>
        <v>2325</v>
      </c>
      <c r="E86" s="76" t="s">
        <v>106</v>
      </c>
      <c r="F86" s="322">
        <v>729</v>
      </c>
      <c r="G86" s="311">
        <f t="shared" si="16"/>
        <v>1694925</v>
      </c>
      <c r="H86" s="352"/>
      <c r="I86" s="346"/>
      <c r="J86" s="347"/>
      <c r="K86" s="343"/>
      <c r="L86" s="348"/>
      <c r="M86" s="349"/>
      <c r="N86" s="346"/>
    </row>
    <row r="87" spans="1:25" s="57" customFormat="1" ht="21" customHeight="1">
      <c r="A87" s="371"/>
      <c r="B87" s="334">
        <f t="shared" si="15"/>
        <v>9</v>
      </c>
      <c r="C87" s="329" t="s">
        <v>171</v>
      </c>
      <c r="D87" s="311">
        <f>1450+450+156+200+200+600</f>
        <v>3056</v>
      </c>
      <c r="E87" s="76" t="s">
        <v>110</v>
      </c>
      <c r="F87" s="322">
        <v>1719.2848483742939</v>
      </c>
      <c r="G87" s="311">
        <f t="shared" si="16"/>
        <v>5254134.4966318421</v>
      </c>
      <c r="H87" s="352"/>
      <c r="I87" s="346"/>
      <c r="J87" s="347"/>
      <c r="K87" s="343"/>
      <c r="L87" s="348"/>
      <c r="M87" s="349"/>
      <c r="N87" s="346"/>
    </row>
    <row r="88" spans="1:25" s="57" customFormat="1" ht="21" customHeight="1">
      <c r="A88" s="371"/>
      <c r="B88" s="334">
        <f t="shared" si="15"/>
        <v>10</v>
      </c>
      <c r="C88" s="331" t="s">
        <v>172</v>
      </c>
      <c r="D88" s="311">
        <f>100+1760+150</f>
        <v>2010</v>
      </c>
      <c r="E88" s="76" t="s">
        <v>110</v>
      </c>
      <c r="F88" s="322">
        <v>30811.29974206</v>
      </c>
      <c r="G88" s="311">
        <f>D88*F88</f>
        <v>61930712.481540598</v>
      </c>
      <c r="H88" s="352"/>
      <c r="I88" s="346"/>
      <c r="J88" s="347"/>
      <c r="K88" s="343"/>
      <c r="L88" s="348"/>
      <c r="M88" s="349"/>
      <c r="N88" s="346"/>
    </row>
    <row r="89" spans="1:25" s="57" customFormat="1" ht="21" customHeight="1">
      <c r="A89" s="371"/>
      <c r="B89" s="334">
        <f t="shared" si="15"/>
        <v>11</v>
      </c>
      <c r="C89" s="332" t="s">
        <v>262</v>
      </c>
      <c r="D89" s="311">
        <v>11000</v>
      </c>
      <c r="E89" s="76" t="s">
        <v>110</v>
      </c>
      <c r="F89" s="322">
        <v>1067.0159544860833</v>
      </c>
      <c r="G89" s="311">
        <f>D89*F89</f>
        <v>11737175.499346916</v>
      </c>
      <c r="H89" s="352"/>
      <c r="I89" s="346"/>
      <c r="J89" s="347"/>
      <c r="K89" s="343"/>
      <c r="L89" s="348"/>
      <c r="M89" s="349"/>
      <c r="N89" s="346"/>
      <c r="Q89" s="57">
        <f>12*12*1000</f>
        <v>144000</v>
      </c>
    </row>
    <row r="90" spans="1:25" s="57" customFormat="1" ht="30.75" customHeight="1">
      <c r="A90" s="371"/>
      <c r="B90" s="334">
        <f t="shared" si="15"/>
        <v>12</v>
      </c>
      <c r="C90" s="316" t="s">
        <v>174</v>
      </c>
      <c r="D90" s="337">
        <v>10.6</v>
      </c>
      <c r="E90" s="76" t="s">
        <v>175</v>
      </c>
      <c r="F90" s="322">
        <v>82081</v>
      </c>
      <c r="G90" s="311">
        <f>D90*F90</f>
        <v>870058.6</v>
      </c>
      <c r="H90" s="352"/>
      <c r="I90" s="346"/>
      <c r="J90" s="347"/>
      <c r="K90" s="343"/>
      <c r="L90" s="348"/>
      <c r="M90" s="349"/>
      <c r="N90" s="346"/>
    </row>
    <row r="91" spans="1:25" s="57" customFormat="1" ht="21" customHeight="1">
      <c r="A91" s="371"/>
      <c r="B91" s="334">
        <f>B90+1</f>
        <v>13</v>
      </c>
      <c r="C91" s="316" t="s">
        <v>178</v>
      </c>
      <c r="D91" s="311">
        <v>2330</v>
      </c>
      <c r="E91" s="76" t="s">
        <v>110</v>
      </c>
      <c r="F91" s="323">
        <v>51368.645178197097</v>
      </c>
      <c r="G91" s="311">
        <f>D91*F91</f>
        <v>119688943.26519924</v>
      </c>
      <c r="H91" s="352"/>
      <c r="I91" s="346"/>
      <c r="J91" s="347"/>
      <c r="K91" s="343"/>
      <c r="L91" s="348"/>
      <c r="M91" s="349"/>
      <c r="N91" s="346"/>
    </row>
    <row r="92" spans="1:25" s="57" customFormat="1" ht="21" customHeight="1">
      <c r="A92" s="371"/>
      <c r="B92" s="334">
        <v>12</v>
      </c>
      <c r="C92" s="355" t="s">
        <v>263</v>
      </c>
      <c r="D92" s="311">
        <v>900</v>
      </c>
      <c r="E92" s="76" t="s">
        <v>110</v>
      </c>
      <c r="F92" s="323">
        <v>30749</v>
      </c>
      <c r="G92" s="311">
        <f>D92*F92</f>
        <v>27674100</v>
      </c>
      <c r="H92" s="352"/>
      <c r="I92" s="346"/>
      <c r="J92" s="347"/>
      <c r="K92" s="343"/>
      <c r="L92" s="348"/>
      <c r="M92" s="349"/>
      <c r="N92" s="346"/>
    </row>
    <row r="93" spans="1:25" s="139" customFormat="1" ht="19.5" customHeight="1">
      <c r="A93" s="366"/>
      <c r="B93" s="123"/>
      <c r="C93" s="123"/>
      <c r="D93" s="338"/>
      <c r="E93" s="194"/>
      <c r="F93" s="356">
        <f>G93/G94</f>
        <v>0.80323245845927516</v>
      </c>
      <c r="G93" s="357">
        <f>SUM(G4:G92)</f>
        <v>3704749068.1517148</v>
      </c>
      <c r="H93" s="352"/>
      <c r="I93" s="122"/>
      <c r="J93" s="122"/>
      <c r="K93" s="122"/>
      <c r="L93" s="122"/>
      <c r="M93" s="154"/>
      <c r="N93" s="354"/>
      <c r="O93" s="122"/>
      <c r="P93" s="122"/>
      <c r="Q93" s="122">
        <v>72.623000000000005</v>
      </c>
      <c r="R93" s="122"/>
      <c r="S93" s="122"/>
      <c r="T93" s="122"/>
      <c r="U93" s="122"/>
      <c r="V93" s="122"/>
      <c r="W93" s="122"/>
      <c r="X93" s="122"/>
      <c r="Y93" s="122"/>
    </row>
    <row r="94" spans="1:25" s="139" customFormat="1" ht="19.5" customHeight="1">
      <c r="A94" s="366"/>
      <c r="B94" s="123"/>
      <c r="C94" s="123"/>
      <c r="D94" s="338"/>
      <c r="E94" s="194"/>
      <c r="F94" s="358">
        <v>1</v>
      </c>
      <c r="G94" s="359">
        <v>4612300000</v>
      </c>
      <c r="H94" s="352"/>
      <c r="I94" s="122"/>
      <c r="J94" s="122"/>
      <c r="K94" s="122"/>
      <c r="L94" s="122"/>
      <c r="M94" s="122"/>
      <c r="N94" s="353"/>
      <c r="O94" s="122"/>
      <c r="P94" s="122"/>
      <c r="Q94" s="122"/>
      <c r="R94" s="122"/>
      <c r="S94" s="122"/>
      <c r="T94" s="122"/>
      <c r="U94" s="122"/>
      <c r="V94" s="122"/>
      <c r="W94" s="122"/>
      <c r="X94" s="122"/>
      <c r="Y94" s="122"/>
    </row>
    <row r="95" spans="1:25" s="193" customFormat="1" ht="26.25" hidden="1" customHeight="1">
      <c r="A95" s="372"/>
      <c r="D95" s="384" t="s">
        <v>179</v>
      </c>
      <c r="E95" s="384"/>
      <c r="F95" s="362">
        <v>0.53380000000000005</v>
      </c>
      <c r="G95" s="338"/>
      <c r="H95" s="352"/>
      <c r="I95" s="194"/>
      <c r="J95" s="194"/>
      <c r="K95" s="194"/>
      <c r="L95" s="194"/>
      <c r="M95" s="194"/>
      <c r="N95" s="353"/>
      <c r="O95" s="194"/>
      <c r="P95" s="194"/>
      <c r="Q95" s="194"/>
      <c r="R95" s="194"/>
      <c r="S95" s="194"/>
      <c r="T95" s="194"/>
      <c r="U95" s="194"/>
      <c r="V95" s="194"/>
      <c r="W95" s="194"/>
      <c r="X95" s="194"/>
      <c r="Y95" s="194"/>
    </row>
    <row r="96" spans="1:25" s="193" customFormat="1" ht="26.25" hidden="1" customHeight="1">
      <c r="A96" s="372"/>
      <c r="D96" s="384" t="s">
        <v>180</v>
      </c>
      <c r="E96" s="384"/>
      <c r="F96" s="363">
        <f>F93-F95</f>
        <v>0.2694324584592751</v>
      </c>
      <c r="G96" s="338"/>
      <c r="H96" s="352"/>
      <c r="I96" s="194"/>
      <c r="J96" s="194"/>
      <c r="K96" s="194"/>
      <c r="L96" s="194"/>
      <c r="M96" s="194"/>
      <c r="N96" s="353"/>
      <c r="O96" s="194"/>
      <c r="P96" s="194"/>
      <c r="Q96" s="194"/>
      <c r="R96" s="194"/>
      <c r="S96" s="194"/>
      <c r="T96" s="194"/>
      <c r="U96" s="194"/>
      <c r="V96" s="194"/>
      <c r="W96" s="194"/>
      <c r="X96" s="194"/>
      <c r="Y96" s="194"/>
    </row>
    <row r="97" spans="6:17" ht="15">
      <c r="H97" s="352"/>
      <c r="N97" s="353"/>
    </row>
    <row r="98" spans="6:17" ht="15">
      <c r="F98" s="338">
        <v>0.72648735437454304</v>
      </c>
      <c r="H98" s="352"/>
      <c r="N98" s="353"/>
    </row>
    <row r="100" spans="6:17">
      <c r="Q100" s="122">
        <f>69.55-72.51</f>
        <v>-2.960000000000008</v>
      </c>
    </row>
    <row r="101" spans="6:17">
      <c r="F101" s="375">
        <f>+F93-F98</f>
        <v>7.6745104084732119E-2</v>
      </c>
      <c r="G101" s="375">
        <v>0.77520999999999995</v>
      </c>
    </row>
    <row r="102" spans="6:17">
      <c r="G102" s="375">
        <f>G101-F93</f>
        <v>-2.8022458459275201E-2</v>
      </c>
      <c r="Q102" s="376">
        <v>0.74658999999999998</v>
      </c>
    </row>
    <row r="104" spans="6:17">
      <c r="F104" s="356">
        <v>0.69552312133989691</v>
      </c>
      <c r="Q104" s="376">
        <f>+Q102-F93</f>
        <v>-5.664245845927518E-2</v>
      </c>
    </row>
    <row r="107" spans="6:17">
      <c r="F107" s="375">
        <f>+F98-F104</f>
        <v>3.0964233034646127E-2</v>
      </c>
    </row>
  </sheetData>
  <mergeCells count="4">
    <mergeCell ref="B1:G1"/>
    <mergeCell ref="A39:A40"/>
    <mergeCell ref="D95:E95"/>
    <mergeCell ref="D96:E96"/>
  </mergeCells>
  <printOptions horizontalCentered="1"/>
  <pageMargins left="0.19685039370078741" right="0.19685039370078741" top="0.39370078740157483" bottom="0.39370078740157483" header="0.31496062992125984" footer="0.31496062992125984"/>
  <pageSetup paperSize="9" scale="68" orientation="portrait" r:id="rId1"/>
  <headerFooter>
    <oddFooter>Page &amp;P of &amp;N</oddFooter>
  </headerFooter>
  <rowBreaks count="2" manualBreakCount="2">
    <brk id="30" min="1" max="6" man="1"/>
    <brk id="54" min="1" max="6" man="1"/>
  </rowBreaks>
</worksheet>
</file>

<file path=xl/worksheets/sheet19.xml><?xml version="1.0" encoding="utf-8"?>
<worksheet xmlns="http://schemas.openxmlformats.org/spreadsheetml/2006/main" xmlns:r="http://schemas.openxmlformats.org/officeDocument/2006/relationships">
  <dimension ref="D4:H4"/>
  <sheetViews>
    <sheetView workbookViewId="0">
      <selection activeCell="D4" sqref="D4:H4"/>
    </sheetView>
  </sheetViews>
  <sheetFormatPr defaultRowHeight="15"/>
  <sheetData>
    <row r="4" spans="4:8">
      <c r="D4" s="330" t="s">
        <v>275</v>
      </c>
      <c r="E4" s="311">
        <v>69000</v>
      </c>
      <c r="F4" s="76" t="s">
        <v>106</v>
      </c>
      <c r="G4" s="322">
        <v>72</v>
      </c>
      <c r="H4" s="311">
        <f t="shared" ref="H4" si="0">E4*G4</f>
        <v>4968000</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V153"/>
  <sheetViews>
    <sheetView workbookViewId="0">
      <pane xSplit="1" ySplit="4" topLeftCell="B17" activePane="bottomRight" state="frozen"/>
      <selection pane="topRight" activeCell="B1" sqref="B1"/>
      <selection pane="bottomLeft" activeCell="A5" sqref="A5"/>
      <selection pane="bottomRight" activeCell="N118" sqref="N118"/>
    </sheetView>
  </sheetViews>
  <sheetFormatPr defaultRowHeight="15"/>
  <cols>
    <col min="1" max="1" width="4.7109375" customWidth="1"/>
    <col min="2" max="2" width="19.42578125" bestFit="1" customWidth="1"/>
    <col min="3" max="3" width="10.42578125" style="268" bestFit="1" customWidth="1"/>
    <col min="4" max="4" width="7.42578125" bestFit="1" customWidth="1"/>
    <col min="5" max="5" width="8" bestFit="1" customWidth="1"/>
    <col min="6" max="6" width="7.85546875" bestFit="1" customWidth="1"/>
    <col min="7" max="7" width="6.5703125" customWidth="1"/>
    <col min="8" max="8" width="5.42578125" customWidth="1"/>
    <col min="9" max="9" width="8.140625" bestFit="1" customWidth="1"/>
    <col min="10" max="10" width="6" hidden="1" customWidth="1"/>
    <col min="11" max="11" width="7.5703125" bestFit="1" customWidth="1"/>
    <col min="12" max="12" width="7.85546875" bestFit="1" customWidth="1"/>
    <col min="13" max="13" width="7.85546875" customWidth="1"/>
    <col min="14" max="15" width="7.85546875" bestFit="1" customWidth="1"/>
    <col min="16" max="16" width="7.42578125" bestFit="1" customWidth="1"/>
    <col min="17" max="17" width="8.42578125" bestFit="1" customWidth="1"/>
    <col min="18" max="18" width="5.7109375" hidden="1" customWidth="1"/>
    <col min="19" max="19" width="8.85546875" bestFit="1" customWidth="1"/>
    <col min="21" max="21" width="10" bestFit="1" customWidth="1"/>
  </cols>
  <sheetData>
    <row r="1" spans="1:20" ht="30.75" customHeight="1">
      <c r="A1" s="200" t="str">
        <f>'[1]EW-Qty'!A1</f>
        <v>Development of Six-Lane Access Controlled Greenfield Highway from Vanavolu (Ch. 24+300) to Vankarakunta (Ch. 45+700) of Bengaluru – Vijayawada Economic Corridor on HAM Mode under Bharatmala Pariyojana Phase-I in the State of Andhra Pradesh (Package-2)</v>
      </c>
      <c r="B1" s="200"/>
      <c r="C1" s="201"/>
      <c r="D1" s="200"/>
      <c r="E1" s="200"/>
      <c r="F1" s="200"/>
      <c r="G1" s="200"/>
      <c r="H1" s="200"/>
      <c r="I1" s="200"/>
      <c r="J1" s="200"/>
      <c r="K1" s="200"/>
      <c r="L1" s="200"/>
      <c r="M1" s="200"/>
      <c r="N1" s="200"/>
      <c r="O1" s="200"/>
      <c r="P1" s="200"/>
      <c r="Q1" s="200"/>
      <c r="R1" s="200"/>
      <c r="S1" s="200"/>
    </row>
    <row r="2" spans="1:20" ht="18.75">
      <c r="A2" s="202" t="s">
        <v>182</v>
      </c>
      <c r="B2" s="203"/>
      <c r="C2" s="204"/>
      <c r="D2" s="203"/>
      <c r="E2" s="203"/>
      <c r="F2" s="203"/>
      <c r="G2" s="203"/>
      <c r="H2" s="203"/>
      <c r="I2" s="203"/>
      <c r="J2" s="203"/>
      <c r="K2" s="203"/>
      <c r="L2" s="203"/>
      <c r="M2" s="203"/>
      <c r="N2" s="203"/>
      <c r="O2" s="203"/>
      <c r="P2" s="203"/>
      <c r="Q2" s="203"/>
      <c r="R2" s="203"/>
      <c r="S2" s="203"/>
    </row>
    <row r="3" spans="1:20" ht="15.75">
      <c r="A3" s="205" t="s">
        <v>183</v>
      </c>
      <c r="B3" s="205"/>
      <c r="C3" s="206"/>
      <c r="D3" s="205"/>
      <c r="E3" s="205"/>
      <c r="F3" s="205"/>
      <c r="G3" s="205"/>
      <c r="H3" s="207"/>
      <c r="I3" s="208"/>
      <c r="J3" s="209" t="s">
        <v>184</v>
      </c>
      <c r="K3" s="205"/>
      <c r="L3" s="205"/>
      <c r="M3" s="205"/>
      <c r="N3" s="205"/>
      <c r="O3" s="205"/>
      <c r="P3" s="205"/>
      <c r="Q3" s="205"/>
      <c r="R3" s="205"/>
      <c r="S3" s="205"/>
    </row>
    <row r="4" spans="1:20" ht="15.75">
      <c r="A4" s="210" t="s">
        <v>185</v>
      </c>
      <c r="B4" s="210" t="s">
        <v>186</v>
      </c>
      <c r="C4" s="211" t="s">
        <v>187</v>
      </c>
      <c r="D4" s="210" t="s">
        <v>188</v>
      </c>
      <c r="E4" s="210" t="s">
        <v>189</v>
      </c>
      <c r="F4" s="210" t="s">
        <v>190</v>
      </c>
      <c r="G4" s="210" t="s">
        <v>191</v>
      </c>
      <c r="H4" s="212" t="s">
        <v>192</v>
      </c>
      <c r="I4" s="213" t="s">
        <v>193</v>
      </c>
      <c r="J4" s="214" t="s">
        <v>194</v>
      </c>
      <c r="K4" s="215" t="s">
        <v>195</v>
      </c>
      <c r="L4" s="210" t="s">
        <v>196</v>
      </c>
      <c r="M4" s="210" t="s">
        <v>197</v>
      </c>
      <c r="N4" s="210" t="s">
        <v>198</v>
      </c>
      <c r="O4" s="210" t="s">
        <v>199</v>
      </c>
      <c r="P4" s="210" t="s">
        <v>200</v>
      </c>
      <c r="Q4" s="210" t="s">
        <v>201</v>
      </c>
      <c r="R4" s="210" t="s">
        <v>202</v>
      </c>
      <c r="S4" s="210" t="s">
        <v>203</v>
      </c>
    </row>
    <row r="5" spans="1:20">
      <c r="A5" s="216"/>
      <c r="B5" s="217"/>
      <c r="C5" s="218"/>
      <c r="D5" s="216"/>
      <c r="E5" s="216"/>
      <c r="F5" s="216"/>
      <c r="G5" s="216"/>
      <c r="H5" s="219"/>
      <c r="I5" s="220"/>
      <c r="J5" s="221"/>
      <c r="K5" s="222"/>
      <c r="L5" s="216"/>
      <c r="M5" s="216"/>
      <c r="N5" s="216"/>
      <c r="O5" s="216"/>
      <c r="P5" s="216"/>
      <c r="Q5" s="216"/>
      <c r="R5" s="216"/>
      <c r="S5" s="223"/>
      <c r="T5">
        <v>1</v>
      </c>
    </row>
    <row r="6" spans="1:20">
      <c r="A6" s="269">
        <v>1</v>
      </c>
      <c r="B6" s="269" t="s">
        <v>204</v>
      </c>
      <c r="C6" s="270"/>
      <c r="D6" s="271"/>
      <c r="E6" s="271"/>
      <c r="F6" s="271"/>
      <c r="G6" s="271"/>
      <c r="H6" s="272"/>
      <c r="I6" s="273"/>
      <c r="J6" s="274"/>
      <c r="K6" s="275"/>
      <c r="L6" s="271"/>
      <c r="M6" s="271"/>
      <c r="N6" s="271"/>
      <c r="O6" s="271"/>
      <c r="P6" s="271"/>
      <c r="Q6" s="271"/>
      <c r="R6" s="271"/>
      <c r="S6" s="276"/>
      <c r="T6" s="277">
        <v>1</v>
      </c>
    </row>
    <row r="7" spans="1:20">
      <c r="A7" s="271"/>
      <c r="B7" s="271" t="s">
        <v>205</v>
      </c>
      <c r="C7" s="270">
        <v>28168</v>
      </c>
      <c r="D7" s="271" t="s">
        <v>206</v>
      </c>
      <c r="E7" s="278">
        <v>3.6579999999999999</v>
      </c>
      <c r="F7" s="278">
        <v>196.87</v>
      </c>
      <c r="G7" s="271"/>
      <c r="H7" s="272"/>
      <c r="I7" s="273"/>
      <c r="J7" s="274"/>
      <c r="K7" s="279">
        <f t="shared" ref="K7:K19" si="0">E7</f>
        <v>3.6579999999999999</v>
      </c>
      <c r="L7" s="278"/>
      <c r="M7" s="278"/>
      <c r="N7" s="278"/>
      <c r="O7" s="278">
        <f t="shared" ref="O7:O19" si="1">F7</f>
        <v>196.87</v>
      </c>
      <c r="P7" s="271"/>
      <c r="Q7" s="271"/>
      <c r="R7" s="271"/>
      <c r="S7" s="276">
        <v>1</v>
      </c>
      <c r="T7" s="277">
        <v>1</v>
      </c>
    </row>
    <row r="8" spans="1:20">
      <c r="A8" s="271"/>
      <c r="B8" s="271"/>
      <c r="C8" s="270">
        <v>34602</v>
      </c>
      <c r="D8" s="271" t="s">
        <v>206</v>
      </c>
      <c r="E8" s="278">
        <v>3.6579999999999999</v>
      </c>
      <c r="F8" s="278">
        <v>45.521000000000001</v>
      </c>
      <c r="G8" s="271"/>
      <c r="H8" s="272"/>
      <c r="I8" s="273"/>
      <c r="J8" s="274"/>
      <c r="K8" s="279">
        <f t="shared" si="0"/>
        <v>3.6579999999999999</v>
      </c>
      <c r="L8" s="278"/>
      <c r="M8" s="278"/>
      <c r="N8" s="278"/>
      <c r="O8" s="278">
        <f t="shared" si="1"/>
        <v>45.521000000000001</v>
      </c>
      <c r="P8" s="271"/>
      <c r="Q8" s="271"/>
      <c r="R8" s="271"/>
      <c r="S8" s="276">
        <v>1</v>
      </c>
      <c r="T8" s="277">
        <v>1</v>
      </c>
    </row>
    <row r="9" spans="1:20">
      <c r="A9" s="271"/>
      <c r="B9" s="271"/>
      <c r="C9" s="270"/>
      <c r="D9" s="271" t="s">
        <v>207</v>
      </c>
      <c r="E9" s="278">
        <v>3.6579999999999999</v>
      </c>
      <c r="F9" s="278">
        <v>45.521000000000001</v>
      </c>
      <c r="G9" s="271"/>
      <c r="H9" s="272"/>
      <c r="I9" s="273"/>
      <c r="J9" s="274"/>
      <c r="K9" s="279">
        <f t="shared" si="0"/>
        <v>3.6579999999999999</v>
      </c>
      <c r="L9" s="278"/>
      <c r="M9" s="278"/>
      <c r="N9" s="278"/>
      <c r="O9" s="278">
        <f t="shared" si="1"/>
        <v>45.521000000000001</v>
      </c>
      <c r="P9" s="271"/>
      <c r="Q9" s="271"/>
      <c r="R9" s="271"/>
      <c r="S9" s="276">
        <v>1</v>
      </c>
      <c r="T9" s="277">
        <v>1</v>
      </c>
    </row>
    <row r="10" spans="1:20">
      <c r="A10" s="271"/>
      <c r="B10" s="271"/>
      <c r="C10" s="270"/>
      <c r="D10" s="271" t="s">
        <v>208</v>
      </c>
      <c r="E10" s="278">
        <v>3.6579999999999999</v>
      </c>
      <c r="F10" s="278">
        <v>45.521000000000001</v>
      </c>
      <c r="G10" s="271"/>
      <c r="H10" s="272"/>
      <c r="I10" s="273"/>
      <c r="J10" s="274"/>
      <c r="K10" s="279">
        <f t="shared" si="0"/>
        <v>3.6579999999999999</v>
      </c>
      <c r="L10" s="278"/>
      <c r="M10" s="278"/>
      <c r="N10" s="278"/>
      <c r="O10" s="278">
        <f t="shared" si="1"/>
        <v>45.521000000000001</v>
      </c>
      <c r="P10" s="271"/>
      <c r="Q10" s="271"/>
      <c r="R10" s="271"/>
      <c r="S10" s="276">
        <v>1</v>
      </c>
      <c r="T10" s="277">
        <v>1</v>
      </c>
    </row>
    <row r="11" spans="1:20">
      <c r="A11" s="271"/>
      <c r="B11" s="271"/>
      <c r="C11" s="270"/>
      <c r="D11" s="271" t="s">
        <v>209</v>
      </c>
      <c r="E11" s="278">
        <v>3.6579999999999999</v>
      </c>
      <c r="F11" s="278">
        <v>45.521000000000001</v>
      </c>
      <c r="G11" s="271"/>
      <c r="H11" s="272"/>
      <c r="I11" s="273"/>
      <c r="J11" s="274"/>
      <c r="K11" s="279">
        <f t="shared" si="0"/>
        <v>3.6579999999999999</v>
      </c>
      <c r="L11" s="278"/>
      <c r="M11" s="278"/>
      <c r="N11" s="278"/>
      <c r="O11" s="278">
        <f t="shared" si="1"/>
        <v>45.521000000000001</v>
      </c>
      <c r="P11" s="271"/>
      <c r="Q11" s="271"/>
      <c r="R11" s="271"/>
      <c r="S11" s="276">
        <v>1</v>
      </c>
      <c r="T11" s="277">
        <v>1</v>
      </c>
    </row>
    <row r="12" spans="1:20">
      <c r="A12" s="271"/>
      <c r="B12" s="271"/>
      <c r="C12" s="270">
        <v>39320</v>
      </c>
      <c r="D12" s="271" t="s">
        <v>206</v>
      </c>
      <c r="E12" s="278">
        <v>4.9000000000000004</v>
      </c>
      <c r="F12" s="278">
        <v>60.892000000000003</v>
      </c>
      <c r="G12" s="271"/>
      <c r="H12" s="272"/>
      <c r="I12" s="273"/>
      <c r="J12" s="274"/>
      <c r="K12" s="279">
        <f t="shared" si="0"/>
        <v>4.9000000000000004</v>
      </c>
      <c r="L12" s="278"/>
      <c r="M12" s="278"/>
      <c r="N12" s="278"/>
      <c r="O12" s="278">
        <f t="shared" si="1"/>
        <v>60.892000000000003</v>
      </c>
      <c r="P12" s="271"/>
      <c r="Q12" s="271"/>
      <c r="R12" s="271"/>
      <c r="S12" s="276">
        <v>1</v>
      </c>
      <c r="T12" s="277">
        <v>1</v>
      </c>
    </row>
    <row r="13" spans="1:20">
      <c r="A13" s="271"/>
      <c r="B13" s="271"/>
      <c r="C13" s="270"/>
      <c r="D13" s="271" t="s">
        <v>207</v>
      </c>
      <c r="E13" s="278">
        <v>4.9000000000000004</v>
      </c>
      <c r="F13" s="278">
        <v>60.892000000000003</v>
      </c>
      <c r="G13" s="271"/>
      <c r="H13" s="272"/>
      <c r="I13" s="273"/>
      <c r="J13" s="274"/>
      <c r="K13" s="279">
        <f t="shared" si="0"/>
        <v>4.9000000000000004</v>
      </c>
      <c r="L13" s="278"/>
      <c r="M13" s="278"/>
      <c r="N13" s="278"/>
      <c r="O13" s="278">
        <f t="shared" si="1"/>
        <v>60.892000000000003</v>
      </c>
      <c r="P13" s="271"/>
      <c r="Q13" s="271"/>
      <c r="R13" s="271"/>
      <c r="S13" s="276">
        <v>1</v>
      </c>
      <c r="T13" s="277">
        <v>1</v>
      </c>
    </row>
    <row r="14" spans="1:20">
      <c r="A14" s="271"/>
      <c r="B14" s="271"/>
      <c r="C14" s="270"/>
      <c r="D14" s="271" t="s">
        <v>208</v>
      </c>
      <c r="E14" s="278">
        <v>4.9000000000000004</v>
      </c>
      <c r="F14" s="278">
        <v>60.892000000000003</v>
      </c>
      <c r="G14" s="271"/>
      <c r="H14" s="272"/>
      <c r="I14" s="273"/>
      <c r="J14" s="274"/>
      <c r="K14" s="279">
        <f t="shared" si="0"/>
        <v>4.9000000000000004</v>
      </c>
      <c r="L14" s="278"/>
      <c r="M14" s="278"/>
      <c r="N14" s="278"/>
      <c r="O14" s="278">
        <f t="shared" si="1"/>
        <v>60.892000000000003</v>
      </c>
      <c r="P14" s="271"/>
      <c r="Q14" s="271"/>
      <c r="R14" s="271"/>
      <c r="S14" s="276">
        <v>1</v>
      </c>
      <c r="T14" s="277">
        <v>1</v>
      </c>
    </row>
    <row r="15" spans="1:20">
      <c r="A15" s="271"/>
      <c r="B15" s="271"/>
      <c r="C15" s="270"/>
      <c r="D15" s="271" t="s">
        <v>209</v>
      </c>
      <c r="E15" s="278">
        <v>4.9000000000000004</v>
      </c>
      <c r="F15" s="278">
        <v>60.892000000000003</v>
      </c>
      <c r="G15" s="271"/>
      <c r="H15" s="272"/>
      <c r="I15" s="273"/>
      <c r="J15" s="274"/>
      <c r="K15" s="279">
        <f t="shared" si="0"/>
        <v>4.9000000000000004</v>
      </c>
      <c r="L15" s="278"/>
      <c r="M15" s="278"/>
      <c r="N15" s="278"/>
      <c r="O15" s="278">
        <f t="shared" si="1"/>
        <v>60.892000000000003</v>
      </c>
      <c r="P15" s="271"/>
      <c r="Q15" s="271"/>
      <c r="R15" s="271"/>
      <c r="S15" s="276">
        <v>1</v>
      </c>
      <c r="T15" s="277">
        <v>1</v>
      </c>
    </row>
    <row r="16" spans="1:20">
      <c r="A16" s="271"/>
      <c r="B16" s="271"/>
      <c r="C16" s="270">
        <v>39442</v>
      </c>
      <c r="D16" s="271" t="s">
        <v>206</v>
      </c>
      <c r="E16" s="278">
        <v>3.6579999999999999</v>
      </c>
      <c r="F16" s="278">
        <v>45.521000000000001</v>
      </c>
      <c r="G16" s="271"/>
      <c r="H16" s="272"/>
      <c r="I16" s="273"/>
      <c r="J16" s="274"/>
      <c r="K16" s="279">
        <f t="shared" si="0"/>
        <v>3.6579999999999999</v>
      </c>
      <c r="L16" s="278"/>
      <c r="M16" s="278"/>
      <c r="N16" s="278"/>
      <c r="O16" s="278">
        <f t="shared" si="1"/>
        <v>45.521000000000001</v>
      </c>
      <c r="P16" s="271"/>
      <c r="Q16" s="271"/>
      <c r="R16" s="271"/>
      <c r="S16" s="276">
        <v>1</v>
      </c>
      <c r="T16" s="277">
        <v>1</v>
      </c>
    </row>
    <row r="17" spans="1:20">
      <c r="A17" s="271"/>
      <c r="B17" s="271"/>
      <c r="C17" s="270"/>
      <c r="D17" s="271" t="s">
        <v>207</v>
      </c>
      <c r="E17" s="278">
        <v>3.6579999999999999</v>
      </c>
      <c r="F17" s="278">
        <v>45.521000000000001</v>
      </c>
      <c r="G17" s="271"/>
      <c r="H17" s="272"/>
      <c r="I17" s="273"/>
      <c r="J17" s="274"/>
      <c r="K17" s="279">
        <f t="shared" si="0"/>
        <v>3.6579999999999999</v>
      </c>
      <c r="L17" s="278"/>
      <c r="M17" s="278"/>
      <c r="N17" s="278"/>
      <c r="O17" s="278">
        <f t="shared" si="1"/>
        <v>45.521000000000001</v>
      </c>
      <c r="P17" s="271"/>
      <c r="Q17" s="271"/>
      <c r="R17" s="271"/>
      <c r="S17" s="276">
        <v>1</v>
      </c>
      <c r="T17" s="277">
        <v>1</v>
      </c>
    </row>
    <row r="18" spans="1:20">
      <c r="A18" s="271"/>
      <c r="B18" s="271"/>
      <c r="C18" s="270"/>
      <c r="D18" s="271" t="s">
        <v>208</v>
      </c>
      <c r="E18" s="278">
        <v>3.6579999999999999</v>
      </c>
      <c r="F18" s="278">
        <v>45.521000000000001</v>
      </c>
      <c r="G18" s="271"/>
      <c r="H18" s="272"/>
      <c r="I18" s="273"/>
      <c r="J18" s="274"/>
      <c r="K18" s="279">
        <f t="shared" si="0"/>
        <v>3.6579999999999999</v>
      </c>
      <c r="L18" s="278"/>
      <c r="M18" s="278"/>
      <c r="N18" s="278"/>
      <c r="O18" s="278">
        <f t="shared" si="1"/>
        <v>45.521000000000001</v>
      </c>
      <c r="P18" s="271"/>
      <c r="Q18" s="271"/>
      <c r="R18" s="271"/>
      <c r="S18" s="276">
        <v>1</v>
      </c>
      <c r="T18" s="277">
        <v>1</v>
      </c>
    </row>
    <row r="19" spans="1:20">
      <c r="A19" s="271"/>
      <c r="B19" s="271"/>
      <c r="C19" s="270"/>
      <c r="D19" s="271" t="s">
        <v>209</v>
      </c>
      <c r="E19" s="278">
        <v>3.6579999999999999</v>
      </c>
      <c r="F19" s="278">
        <v>45.521000000000001</v>
      </c>
      <c r="G19" s="271"/>
      <c r="H19" s="272"/>
      <c r="I19" s="273"/>
      <c r="J19" s="274"/>
      <c r="K19" s="279">
        <f t="shared" si="0"/>
        <v>3.6579999999999999</v>
      </c>
      <c r="L19" s="278"/>
      <c r="M19" s="278"/>
      <c r="N19" s="278"/>
      <c r="O19" s="278">
        <f t="shared" si="1"/>
        <v>45.521000000000001</v>
      </c>
      <c r="P19" s="271"/>
      <c r="Q19" s="271"/>
      <c r="R19" s="271"/>
      <c r="S19" s="276">
        <v>1</v>
      </c>
      <c r="T19" s="277">
        <v>1</v>
      </c>
    </row>
    <row r="20" spans="1:20">
      <c r="A20" s="271"/>
      <c r="B20" s="271"/>
      <c r="C20" s="270"/>
      <c r="D20" s="271"/>
      <c r="E20" s="278"/>
      <c r="F20" s="278"/>
      <c r="G20" s="271"/>
      <c r="H20" s="272"/>
      <c r="I20" s="273"/>
      <c r="J20" s="274"/>
      <c r="K20" s="279"/>
      <c r="L20" s="278"/>
      <c r="M20" s="278"/>
      <c r="N20" s="278"/>
      <c r="O20" s="278"/>
      <c r="P20" s="271"/>
      <c r="Q20" s="271"/>
      <c r="R20" s="271"/>
      <c r="S20" s="276"/>
      <c r="T20" s="277">
        <v>1</v>
      </c>
    </row>
    <row r="21" spans="1:20">
      <c r="A21" s="271"/>
      <c r="B21" s="271" t="s">
        <v>210</v>
      </c>
      <c r="C21" s="270">
        <v>28163</v>
      </c>
      <c r="D21" s="271" t="s">
        <v>211</v>
      </c>
      <c r="E21" s="278"/>
      <c r="F21" s="278"/>
      <c r="G21" s="271">
        <v>395.91</v>
      </c>
      <c r="H21" s="272"/>
      <c r="I21" s="273"/>
      <c r="J21" s="274"/>
      <c r="K21" s="279"/>
      <c r="L21" s="278"/>
      <c r="M21" s="278"/>
      <c r="N21" s="278"/>
      <c r="O21" s="278"/>
      <c r="P21" s="271">
        <f>+G21+H21</f>
        <v>395.91</v>
      </c>
      <c r="Q21" s="271"/>
      <c r="R21" s="271"/>
      <c r="S21" s="276">
        <v>4</v>
      </c>
      <c r="T21" s="277">
        <v>1</v>
      </c>
    </row>
    <row r="22" spans="1:20">
      <c r="A22" s="271"/>
      <c r="B22" s="271"/>
      <c r="C22" s="270">
        <v>34593</v>
      </c>
      <c r="D22" s="271" t="s">
        <v>211</v>
      </c>
      <c r="E22" s="278"/>
      <c r="F22" s="278"/>
      <c r="G22" s="271">
        <v>296.73</v>
      </c>
      <c r="H22" s="272"/>
      <c r="I22" s="273"/>
      <c r="J22" s="274"/>
      <c r="K22" s="279"/>
      <c r="L22" s="278"/>
      <c r="M22" s="278"/>
      <c r="N22" s="278"/>
      <c r="O22" s="278"/>
      <c r="P22" s="271">
        <f t="shared" ref="P22:P24" si="2">+G22+H22</f>
        <v>296.73</v>
      </c>
      <c r="Q22" s="271"/>
      <c r="R22" s="271"/>
      <c r="S22" s="276">
        <v>3</v>
      </c>
      <c r="T22" s="277">
        <v>1</v>
      </c>
    </row>
    <row r="23" spans="1:20">
      <c r="A23" s="271"/>
      <c r="B23" s="271"/>
      <c r="C23" s="270">
        <v>39308</v>
      </c>
      <c r="D23" s="271" t="s">
        <v>211</v>
      </c>
      <c r="E23" s="278"/>
      <c r="F23" s="278"/>
      <c r="G23" s="271">
        <v>326.35000000000002</v>
      </c>
      <c r="H23" s="272"/>
      <c r="I23" s="273"/>
      <c r="J23" s="274"/>
      <c r="K23" s="279"/>
      <c r="L23" s="278"/>
      <c r="M23" s="278"/>
      <c r="N23" s="278"/>
      <c r="O23" s="278"/>
      <c r="P23" s="271">
        <f t="shared" si="2"/>
        <v>326.35000000000002</v>
      </c>
      <c r="Q23" s="271"/>
      <c r="R23" s="271"/>
      <c r="S23" s="276">
        <v>4</v>
      </c>
      <c r="T23" s="277">
        <v>1</v>
      </c>
    </row>
    <row r="24" spans="1:20">
      <c r="A24" s="271"/>
      <c r="B24" s="271"/>
      <c r="C24" s="270">
        <v>39432</v>
      </c>
      <c r="D24" s="271" t="s">
        <v>211</v>
      </c>
      <c r="E24" s="278"/>
      <c r="F24" s="278"/>
      <c r="G24" s="271">
        <v>284.38</v>
      </c>
      <c r="H24" s="272"/>
      <c r="I24" s="273"/>
      <c r="J24" s="274"/>
      <c r="K24" s="279"/>
      <c r="L24" s="278"/>
      <c r="M24" s="278"/>
      <c r="N24" s="278"/>
      <c r="O24" s="278"/>
      <c r="P24" s="271">
        <f t="shared" si="2"/>
        <v>284.38</v>
      </c>
      <c r="Q24" s="271"/>
      <c r="R24" s="271"/>
      <c r="S24" s="276">
        <v>3</v>
      </c>
      <c r="T24" s="277">
        <v>1</v>
      </c>
    </row>
    <row r="25" spans="1:20">
      <c r="A25" s="269"/>
      <c r="B25" s="271" t="s">
        <v>212</v>
      </c>
      <c r="C25" s="270"/>
      <c r="D25" s="271"/>
      <c r="E25" s="278"/>
      <c r="F25" s="278"/>
      <c r="G25" s="271"/>
      <c r="H25" s="272"/>
      <c r="I25" s="273"/>
      <c r="J25" s="274"/>
      <c r="K25" s="279"/>
      <c r="L25" s="278"/>
      <c r="M25" s="278"/>
      <c r="N25" s="271"/>
      <c r="O25" s="278"/>
      <c r="P25" s="271"/>
      <c r="Q25" s="271"/>
      <c r="R25" s="271"/>
      <c r="S25" s="276"/>
      <c r="T25" s="277">
        <v>1</v>
      </c>
    </row>
    <row r="26" spans="1:20">
      <c r="A26" s="269"/>
      <c r="B26" s="271"/>
      <c r="C26" s="270">
        <v>28163</v>
      </c>
      <c r="D26" s="271">
        <v>2</v>
      </c>
      <c r="E26" s="278"/>
      <c r="F26" s="278"/>
      <c r="G26" s="271"/>
      <c r="H26" s="272"/>
      <c r="I26" s="273">
        <f>31.25*D26</f>
        <v>62.5</v>
      </c>
      <c r="J26" s="274"/>
      <c r="K26" s="279"/>
      <c r="L26" s="278"/>
      <c r="M26" s="278"/>
      <c r="N26" s="271"/>
      <c r="O26" s="278"/>
      <c r="P26" s="271"/>
      <c r="Q26" s="271">
        <f>+I26</f>
        <v>62.5</v>
      </c>
      <c r="R26" s="271"/>
      <c r="S26" s="276">
        <v>4</v>
      </c>
      <c r="T26" s="277">
        <v>1</v>
      </c>
    </row>
    <row r="27" spans="1:20">
      <c r="A27" s="271"/>
      <c r="B27" s="271"/>
      <c r="C27" s="270">
        <v>34593</v>
      </c>
      <c r="D27" s="271">
        <v>2</v>
      </c>
      <c r="E27" s="278"/>
      <c r="F27" s="278"/>
      <c r="G27" s="271"/>
      <c r="H27" s="272"/>
      <c r="I27" s="273">
        <f>23.805*D27</f>
        <v>47.61</v>
      </c>
      <c r="J27" s="274"/>
      <c r="K27" s="279"/>
      <c r="L27" s="278"/>
      <c r="M27" s="278"/>
      <c r="N27" s="271"/>
      <c r="O27" s="278">
        <f>+I27</f>
        <v>47.61</v>
      </c>
      <c r="P27" s="271"/>
      <c r="Q27" s="271"/>
      <c r="R27" s="271"/>
      <c r="S27" s="276">
        <v>3</v>
      </c>
      <c r="T27" s="277">
        <v>1</v>
      </c>
    </row>
    <row r="28" spans="1:20">
      <c r="A28" s="271"/>
      <c r="B28" s="271"/>
      <c r="C28" s="270">
        <v>34593</v>
      </c>
      <c r="D28" s="271">
        <v>6</v>
      </c>
      <c r="E28" s="278"/>
      <c r="F28" s="278"/>
      <c r="G28" s="271"/>
      <c r="H28" s="272"/>
      <c r="I28" s="273">
        <f>23.805*D28</f>
        <v>142.82999999999998</v>
      </c>
      <c r="J28" s="274"/>
      <c r="K28" s="279"/>
      <c r="L28" s="278"/>
      <c r="M28" s="278"/>
      <c r="N28" s="278"/>
      <c r="O28" s="278"/>
      <c r="P28" s="271"/>
      <c r="Q28" s="271">
        <f t="shared" ref="Q28:Q32" si="3">+I28</f>
        <v>142.82999999999998</v>
      </c>
      <c r="R28" s="271"/>
      <c r="S28" s="276">
        <v>4</v>
      </c>
      <c r="T28" s="277">
        <v>1</v>
      </c>
    </row>
    <row r="29" spans="1:20">
      <c r="A29" s="271"/>
      <c r="B29" s="271"/>
      <c r="C29" s="270">
        <v>39308</v>
      </c>
      <c r="D29" s="271">
        <v>2</v>
      </c>
      <c r="E29" s="278"/>
      <c r="F29" s="278"/>
      <c r="G29" s="271"/>
      <c r="H29" s="272"/>
      <c r="I29" s="273">
        <f>34.996*D29</f>
        <v>69.992000000000004</v>
      </c>
      <c r="J29" s="274"/>
      <c r="K29" s="279"/>
      <c r="L29" s="278"/>
      <c r="M29" s="278"/>
      <c r="N29" s="278"/>
      <c r="O29" s="278"/>
      <c r="P29" s="271"/>
      <c r="Q29" s="271">
        <f t="shared" si="3"/>
        <v>69.992000000000004</v>
      </c>
      <c r="R29" s="271"/>
      <c r="S29" s="276">
        <v>4</v>
      </c>
      <c r="T29" s="277">
        <v>1</v>
      </c>
    </row>
    <row r="30" spans="1:20">
      <c r="A30" s="271"/>
      <c r="B30" s="271"/>
      <c r="C30" s="270">
        <v>39432</v>
      </c>
      <c r="D30" s="271">
        <v>8</v>
      </c>
      <c r="E30" s="278"/>
      <c r="F30" s="278"/>
      <c r="G30" s="271"/>
      <c r="H30" s="272"/>
      <c r="I30" s="273">
        <f>34.996*D30</f>
        <v>279.96800000000002</v>
      </c>
      <c r="J30" s="274"/>
      <c r="K30" s="279"/>
      <c r="L30" s="278"/>
      <c r="M30" s="278"/>
      <c r="N30" s="278"/>
      <c r="O30" s="278"/>
      <c r="P30" s="271"/>
      <c r="Q30" s="271">
        <f t="shared" si="3"/>
        <v>279.96800000000002</v>
      </c>
      <c r="R30" s="271"/>
      <c r="S30" s="276">
        <v>4</v>
      </c>
      <c r="T30" s="277">
        <v>1</v>
      </c>
    </row>
    <row r="31" spans="1:20">
      <c r="A31" s="271"/>
      <c r="B31" s="271"/>
      <c r="C31" s="270">
        <v>28163</v>
      </c>
      <c r="D31" s="271">
        <v>1</v>
      </c>
      <c r="E31" s="278"/>
      <c r="F31" s="278"/>
      <c r="G31" s="271"/>
      <c r="H31" s="272"/>
      <c r="I31" s="273">
        <f>31.25*D31</f>
        <v>31.25</v>
      </c>
      <c r="J31" s="274"/>
      <c r="K31" s="279"/>
      <c r="L31" s="278"/>
      <c r="M31" s="278"/>
      <c r="N31" s="278"/>
      <c r="O31" s="278"/>
      <c r="P31" s="271"/>
      <c r="Q31" s="271">
        <f t="shared" si="3"/>
        <v>31.25</v>
      </c>
      <c r="R31" s="271"/>
      <c r="S31" s="276">
        <v>5</v>
      </c>
      <c r="T31" s="277">
        <v>1</v>
      </c>
    </row>
    <row r="32" spans="1:20">
      <c r="A32" s="271"/>
      <c r="B32" s="271"/>
      <c r="C32" s="270">
        <v>39308</v>
      </c>
      <c r="D32" s="271">
        <v>1</v>
      </c>
      <c r="E32" s="278"/>
      <c r="F32" s="278"/>
      <c r="G32" s="271"/>
      <c r="H32" s="272"/>
      <c r="I32" s="273">
        <f>34.996*D32</f>
        <v>34.996000000000002</v>
      </c>
      <c r="J32" s="274"/>
      <c r="K32" s="279"/>
      <c r="L32" s="278"/>
      <c r="M32" s="278"/>
      <c r="N32" s="278"/>
      <c r="O32" s="278"/>
      <c r="P32" s="271"/>
      <c r="Q32" s="271">
        <f t="shared" si="3"/>
        <v>34.996000000000002</v>
      </c>
      <c r="R32" s="271"/>
      <c r="S32" s="276">
        <v>5</v>
      </c>
      <c r="T32" s="277">
        <v>1</v>
      </c>
    </row>
    <row r="33" spans="1:20">
      <c r="A33" s="271"/>
      <c r="B33" s="271"/>
      <c r="C33" s="270"/>
      <c r="D33" s="271"/>
      <c r="E33" s="278"/>
      <c r="F33" s="278"/>
      <c r="G33" s="271"/>
      <c r="H33" s="272"/>
      <c r="I33" s="273"/>
      <c r="J33" s="274"/>
      <c r="K33" s="279"/>
      <c r="L33" s="278"/>
      <c r="M33" s="278"/>
      <c r="N33" s="278"/>
      <c r="O33" s="278"/>
      <c r="P33" s="271"/>
      <c r="Q33" s="271"/>
      <c r="R33" s="271"/>
      <c r="S33" s="276"/>
      <c r="T33" s="277">
        <v>1</v>
      </c>
    </row>
    <row r="34" spans="1:20">
      <c r="A34" s="271"/>
      <c r="B34" s="271" t="s">
        <v>213</v>
      </c>
      <c r="C34" s="270">
        <v>34593</v>
      </c>
      <c r="D34" s="271"/>
      <c r="E34" s="278"/>
      <c r="F34" s="278"/>
      <c r="G34" s="271"/>
      <c r="H34" s="272">
        <v>3</v>
      </c>
      <c r="I34" s="273">
        <f>(20.453+82.0158)-30</f>
        <v>72.468800000000002</v>
      </c>
      <c r="J34" s="274"/>
      <c r="K34" s="279"/>
      <c r="L34" s="278"/>
      <c r="M34" s="278"/>
      <c r="N34" s="278"/>
      <c r="O34" s="278">
        <f>H34</f>
        <v>3</v>
      </c>
      <c r="P34" s="271">
        <f>I34</f>
        <v>72.468800000000002</v>
      </c>
      <c r="Q34" s="271"/>
      <c r="R34" s="271"/>
      <c r="S34" s="276">
        <v>5</v>
      </c>
      <c r="T34" s="277">
        <v>1</v>
      </c>
    </row>
    <row r="35" spans="1:20">
      <c r="A35" s="271"/>
      <c r="B35" s="271"/>
      <c r="C35" s="270"/>
      <c r="D35" s="271"/>
      <c r="E35" s="278"/>
      <c r="F35" s="278"/>
      <c r="G35" s="271"/>
      <c r="H35" s="272"/>
      <c r="I35" s="273"/>
      <c r="J35" s="274"/>
      <c r="K35" s="279"/>
      <c r="L35" s="278"/>
      <c r="M35" s="278"/>
      <c r="N35" s="278"/>
      <c r="O35" s="278"/>
      <c r="P35" s="271"/>
      <c r="Q35" s="271"/>
      <c r="R35" s="271"/>
      <c r="S35" s="276"/>
      <c r="T35" s="277">
        <v>1</v>
      </c>
    </row>
    <row r="36" spans="1:20">
      <c r="A36" s="271"/>
      <c r="B36" s="271"/>
      <c r="C36" s="270"/>
      <c r="D36" s="271"/>
      <c r="E36" s="278"/>
      <c r="F36" s="278"/>
      <c r="G36" s="271"/>
      <c r="H36" s="272"/>
      <c r="I36" s="273"/>
      <c r="J36" s="274"/>
      <c r="K36" s="279"/>
      <c r="L36" s="278"/>
      <c r="M36" s="278"/>
      <c r="N36" s="278"/>
      <c r="O36" s="278"/>
      <c r="P36" s="271"/>
      <c r="Q36" s="271"/>
      <c r="R36" s="271"/>
      <c r="S36" s="276"/>
      <c r="T36" s="277">
        <v>1</v>
      </c>
    </row>
    <row r="37" spans="1:20">
      <c r="A37" s="280">
        <f>+A6+1</f>
        <v>2</v>
      </c>
      <c r="B37" s="280" t="s">
        <v>48</v>
      </c>
      <c r="C37" s="281"/>
      <c r="D37" s="280"/>
      <c r="E37" s="280"/>
      <c r="F37" s="280"/>
      <c r="G37" s="280"/>
      <c r="H37" s="282"/>
      <c r="I37" s="283"/>
      <c r="J37" s="284"/>
      <c r="K37" s="285"/>
      <c r="L37" s="280"/>
      <c r="M37" s="280"/>
      <c r="N37" s="280"/>
      <c r="O37" s="280"/>
      <c r="P37" s="280"/>
      <c r="Q37" s="280"/>
      <c r="R37" s="280"/>
      <c r="S37" s="286"/>
      <c r="T37">
        <v>1</v>
      </c>
    </row>
    <row r="38" spans="1:20">
      <c r="A38" s="280"/>
      <c r="B38" s="280" t="s">
        <v>205</v>
      </c>
      <c r="C38" s="281">
        <v>27916</v>
      </c>
      <c r="D38" s="280" t="s">
        <v>214</v>
      </c>
      <c r="E38" s="280">
        <f>171.182/2</f>
        <v>85.590999999999994</v>
      </c>
      <c r="F38" s="280">
        <f>1356/2</f>
        <v>678</v>
      </c>
      <c r="G38" s="280"/>
      <c r="H38" s="282"/>
      <c r="I38" s="283"/>
      <c r="J38" s="284"/>
      <c r="K38" s="287">
        <f>E38</f>
        <v>85.590999999999994</v>
      </c>
      <c r="L38" s="288"/>
      <c r="M38" s="288"/>
      <c r="N38" s="288">
        <f>+F38</f>
        <v>678</v>
      </c>
      <c r="O38" s="288"/>
      <c r="P38" s="280"/>
      <c r="Q38" s="280"/>
      <c r="R38" s="280"/>
      <c r="S38" s="286">
        <v>2</v>
      </c>
      <c r="T38">
        <v>1</v>
      </c>
    </row>
    <row r="39" spans="1:20">
      <c r="A39" s="280"/>
      <c r="B39" s="280"/>
      <c r="C39" s="281">
        <v>27916</v>
      </c>
      <c r="D39" s="280" t="s">
        <v>215</v>
      </c>
      <c r="E39" s="280">
        <f>171.182/2</f>
        <v>85.590999999999994</v>
      </c>
      <c r="F39" s="280">
        <f>1356/2</f>
        <v>678</v>
      </c>
      <c r="G39" s="280"/>
      <c r="H39" s="282"/>
      <c r="I39" s="283"/>
      <c r="J39" s="284"/>
      <c r="K39" s="287">
        <f>E39</f>
        <v>85.590999999999994</v>
      </c>
      <c r="L39" s="288"/>
      <c r="M39" s="288"/>
      <c r="N39" s="288">
        <f t="shared" ref="N39:N47" si="4">+F39</f>
        <v>678</v>
      </c>
      <c r="O39" s="288"/>
      <c r="P39" s="280"/>
      <c r="Q39" s="280"/>
      <c r="R39" s="280"/>
      <c r="S39" s="286">
        <v>2</v>
      </c>
      <c r="T39">
        <v>1</v>
      </c>
    </row>
    <row r="40" spans="1:20">
      <c r="A40" s="280"/>
      <c r="B40" s="280"/>
      <c r="C40" s="281">
        <v>39205</v>
      </c>
      <c r="D40" s="280" t="s">
        <v>211</v>
      </c>
      <c r="E40" s="280">
        <f>142.115/2</f>
        <v>71.057500000000005</v>
      </c>
      <c r="F40" s="280">
        <f>1107.5/2</f>
        <v>553.75</v>
      </c>
      <c r="G40" s="280"/>
      <c r="H40" s="282"/>
      <c r="I40" s="283"/>
      <c r="J40" s="284"/>
      <c r="K40" s="287">
        <f t="shared" ref="K40:K44" si="5">E40</f>
        <v>71.057500000000005</v>
      </c>
      <c r="L40" s="288"/>
      <c r="M40" s="288"/>
      <c r="N40" s="288">
        <f t="shared" si="4"/>
        <v>553.75</v>
      </c>
      <c r="O40" s="288"/>
      <c r="P40" s="280"/>
      <c r="Q40" s="280"/>
      <c r="R40" s="280"/>
      <c r="S40" s="286">
        <v>4</v>
      </c>
      <c r="T40">
        <v>1</v>
      </c>
    </row>
    <row r="41" spans="1:20">
      <c r="A41" s="280"/>
      <c r="B41" s="280"/>
      <c r="C41" s="281">
        <v>39205</v>
      </c>
      <c r="D41" s="280" t="s">
        <v>215</v>
      </c>
      <c r="E41" s="280">
        <f>142.115/2</f>
        <v>71.057500000000005</v>
      </c>
      <c r="F41" s="280">
        <f>1107.5/2</f>
        <v>553.75</v>
      </c>
      <c r="G41" s="280"/>
      <c r="H41" s="282"/>
      <c r="I41" s="283"/>
      <c r="J41" s="284"/>
      <c r="K41" s="287">
        <f t="shared" si="5"/>
        <v>71.057500000000005</v>
      </c>
      <c r="L41" s="288"/>
      <c r="M41" s="288"/>
      <c r="N41" s="288">
        <f t="shared" si="4"/>
        <v>553.75</v>
      </c>
      <c r="O41" s="288"/>
      <c r="P41" s="280"/>
      <c r="Q41" s="280"/>
      <c r="R41" s="280"/>
      <c r="S41" s="286">
        <v>4</v>
      </c>
      <c r="T41">
        <v>1</v>
      </c>
    </row>
    <row r="42" spans="1:20">
      <c r="A42" s="280"/>
      <c r="B42" s="280"/>
      <c r="C42" s="281">
        <v>43280</v>
      </c>
      <c r="D42" s="280" t="s">
        <v>214</v>
      </c>
      <c r="E42" s="280">
        <f>39.055/2</f>
        <v>19.5275</v>
      </c>
      <c r="F42" s="280">
        <f>360.36/2</f>
        <v>180.18</v>
      </c>
      <c r="G42" s="280"/>
      <c r="H42" s="282"/>
      <c r="I42" s="283"/>
      <c r="J42" s="284"/>
      <c r="K42" s="287">
        <f t="shared" si="5"/>
        <v>19.5275</v>
      </c>
      <c r="L42" s="288"/>
      <c r="M42" s="288"/>
      <c r="N42" s="288">
        <f t="shared" si="4"/>
        <v>180.18</v>
      </c>
      <c r="O42" s="288"/>
      <c r="P42" s="280"/>
      <c r="Q42" s="280"/>
      <c r="R42" s="280"/>
      <c r="S42" s="286">
        <v>2</v>
      </c>
      <c r="T42">
        <v>1</v>
      </c>
    </row>
    <row r="43" spans="1:20">
      <c r="A43" s="280"/>
      <c r="B43" s="280"/>
      <c r="C43" s="281">
        <v>43280</v>
      </c>
      <c r="D43" s="280" t="s">
        <v>215</v>
      </c>
      <c r="E43" s="280">
        <f>39.055/2</f>
        <v>19.5275</v>
      </c>
      <c r="F43" s="280">
        <f>360.36/2</f>
        <v>180.18</v>
      </c>
      <c r="G43" s="280"/>
      <c r="H43" s="282"/>
      <c r="I43" s="283"/>
      <c r="J43" s="284"/>
      <c r="K43" s="287">
        <f t="shared" si="5"/>
        <v>19.5275</v>
      </c>
      <c r="L43" s="288"/>
      <c r="M43" s="288"/>
      <c r="N43" s="288">
        <f t="shared" si="4"/>
        <v>180.18</v>
      </c>
      <c r="O43" s="288"/>
      <c r="P43" s="280"/>
      <c r="Q43" s="280"/>
      <c r="R43" s="280"/>
      <c r="S43" s="286">
        <v>2</v>
      </c>
      <c r="T43">
        <v>1</v>
      </c>
    </row>
    <row r="44" spans="1:20">
      <c r="A44" s="280"/>
      <c r="B44" s="280"/>
      <c r="C44" s="281">
        <v>45556</v>
      </c>
      <c r="D44" s="280" t="s">
        <v>214</v>
      </c>
      <c r="E44" s="280">
        <f>35.2*9.4*0.1/2</f>
        <v>16.544000000000004</v>
      </c>
      <c r="F44" s="280">
        <f>35*9.2*0.6/2</f>
        <v>96.6</v>
      </c>
      <c r="G44" s="280"/>
      <c r="H44" s="282"/>
      <c r="I44" s="283"/>
      <c r="J44" s="284"/>
      <c r="K44" s="287">
        <f t="shared" si="5"/>
        <v>16.544000000000004</v>
      </c>
      <c r="L44" s="288"/>
      <c r="M44" s="288"/>
      <c r="N44" s="288">
        <f t="shared" si="4"/>
        <v>96.6</v>
      </c>
      <c r="O44" s="288"/>
      <c r="P44" s="280"/>
      <c r="Q44" s="280"/>
      <c r="R44" s="280"/>
      <c r="S44" s="286">
        <v>1</v>
      </c>
      <c r="T44">
        <v>1</v>
      </c>
    </row>
    <row r="45" spans="1:20">
      <c r="A45" s="280"/>
      <c r="B45" s="280"/>
      <c r="C45" s="281">
        <v>45556</v>
      </c>
      <c r="D45" s="280" t="s">
        <v>215</v>
      </c>
      <c r="E45" s="280">
        <f>35.2*9.4*0.1/2</f>
        <v>16.544000000000004</v>
      </c>
      <c r="F45" s="280">
        <f>35*9.2*0.6/2</f>
        <v>96.6</v>
      </c>
      <c r="G45" s="280"/>
      <c r="H45" s="282"/>
      <c r="I45" s="283"/>
      <c r="J45" s="284"/>
      <c r="K45" s="287">
        <f>E45</f>
        <v>16.544000000000004</v>
      </c>
      <c r="L45" s="288"/>
      <c r="M45" s="288"/>
      <c r="N45" s="288">
        <f t="shared" si="4"/>
        <v>96.6</v>
      </c>
      <c r="O45" s="288"/>
      <c r="P45" s="280"/>
      <c r="Q45" s="280"/>
      <c r="R45" s="280"/>
      <c r="S45" s="286">
        <v>1</v>
      </c>
      <c r="T45">
        <v>1</v>
      </c>
    </row>
    <row r="46" spans="1:20">
      <c r="A46" s="289"/>
      <c r="B46" s="280"/>
      <c r="C46" s="281" t="s">
        <v>216</v>
      </c>
      <c r="D46" s="280" t="s">
        <v>214</v>
      </c>
      <c r="E46" s="280">
        <f>(61.234*0.1*26.244)/2</f>
        <v>80.351254800000007</v>
      </c>
      <c r="F46" s="280">
        <f>(61.234*0.7*26.244)/2</f>
        <v>562.45878359999995</v>
      </c>
      <c r="G46" s="280"/>
      <c r="H46" s="282"/>
      <c r="I46" s="283"/>
      <c r="J46" s="284"/>
      <c r="K46" s="287">
        <f>E46</f>
        <v>80.351254800000007</v>
      </c>
      <c r="L46" s="288"/>
      <c r="M46" s="288"/>
      <c r="N46" s="288">
        <f t="shared" si="4"/>
        <v>562.45878359999995</v>
      </c>
      <c r="O46" s="288"/>
      <c r="P46" s="280"/>
      <c r="Q46" s="280"/>
      <c r="R46" s="280"/>
      <c r="S46" s="286">
        <v>3</v>
      </c>
      <c r="T46">
        <v>1</v>
      </c>
    </row>
    <row r="47" spans="1:20">
      <c r="A47" s="289"/>
      <c r="B47" s="280"/>
      <c r="C47" s="281" t="s">
        <v>216</v>
      </c>
      <c r="D47" s="280" t="s">
        <v>215</v>
      </c>
      <c r="E47" s="280">
        <f>(61.234*0.1*26.244)/2</f>
        <v>80.351254800000007</v>
      </c>
      <c r="F47" s="280">
        <f>(61.234*0.7*26.244)/2</f>
        <v>562.45878359999995</v>
      </c>
      <c r="G47" s="280"/>
      <c r="H47" s="282"/>
      <c r="I47" s="283"/>
      <c r="J47" s="284"/>
      <c r="K47" s="287">
        <f>E47</f>
        <v>80.351254800000007</v>
      </c>
      <c r="L47" s="288"/>
      <c r="M47" s="288"/>
      <c r="N47" s="288">
        <f t="shared" si="4"/>
        <v>562.45878359999995</v>
      </c>
      <c r="O47" s="288"/>
      <c r="P47" s="280"/>
      <c r="Q47" s="280"/>
      <c r="R47" s="280"/>
      <c r="S47" s="286">
        <v>3</v>
      </c>
      <c r="T47">
        <v>1</v>
      </c>
    </row>
    <row r="48" spans="1:20">
      <c r="A48" s="289"/>
      <c r="B48" s="280"/>
      <c r="C48" s="281"/>
      <c r="D48" s="280"/>
      <c r="E48" s="280"/>
      <c r="F48" s="280"/>
      <c r="G48" s="280"/>
      <c r="H48" s="282"/>
      <c r="I48" s="283"/>
      <c r="J48" s="284"/>
      <c r="K48" s="287"/>
      <c r="L48" s="288"/>
      <c r="M48" s="288"/>
      <c r="N48" s="288"/>
      <c r="O48" s="288"/>
      <c r="P48" s="280"/>
      <c r="Q48" s="280"/>
      <c r="R48" s="280"/>
      <c r="S48" s="286"/>
      <c r="T48">
        <v>1</v>
      </c>
    </row>
    <row r="49" spans="1:20">
      <c r="A49" s="289"/>
      <c r="B49" s="280" t="s">
        <v>210</v>
      </c>
      <c r="C49" s="281">
        <v>40713</v>
      </c>
      <c r="D49" s="280" t="s">
        <v>214</v>
      </c>
      <c r="E49" s="280"/>
      <c r="F49" s="280"/>
      <c r="G49" s="280">
        <f>929.716/2</f>
        <v>464.858</v>
      </c>
      <c r="H49" s="282"/>
      <c r="I49" s="283"/>
      <c r="J49" s="284"/>
      <c r="K49" s="287"/>
      <c r="L49" s="288"/>
      <c r="M49" s="288"/>
      <c r="N49" s="288">
        <f>+G49</f>
        <v>464.858</v>
      </c>
      <c r="O49" s="288"/>
      <c r="P49" s="280"/>
      <c r="Q49" s="280"/>
      <c r="R49" s="280"/>
      <c r="S49" s="286">
        <v>4</v>
      </c>
      <c r="T49">
        <v>1</v>
      </c>
    </row>
    <row r="50" spans="1:20">
      <c r="A50" s="289"/>
      <c r="B50" s="280"/>
      <c r="C50" s="281">
        <v>40713</v>
      </c>
      <c r="D50" s="280" t="s">
        <v>215</v>
      </c>
      <c r="E50" s="280"/>
      <c r="F50" s="280"/>
      <c r="G50" s="280">
        <f>929.716/2</f>
        <v>464.858</v>
      </c>
      <c r="H50" s="282"/>
      <c r="I50" s="283"/>
      <c r="J50" s="284"/>
      <c r="K50" s="287"/>
      <c r="L50" s="288"/>
      <c r="M50" s="288"/>
      <c r="N50" s="288">
        <f t="shared" ref="N50:N52" si="6">+G50</f>
        <v>464.858</v>
      </c>
      <c r="O50" s="288"/>
      <c r="P50" s="280"/>
      <c r="Q50" s="280"/>
      <c r="R50" s="280"/>
      <c r="S50" s="286">
        <v>4</v>
      </c>
      <c r="T50">
        <v>1</v>
      </c>
    </row>
    <row r="51" spans="1:20">
      <c r="A51" s="289"/>
      <c r="B51" s="280"/>
      <c r="C51" s="281">
        <v>43280</v>
      </c>
      <c r="D51" s="280" t="s">
        <v>211</v>
      </c>
      <c r="E51" s="280"/>
      <c r="F51" s="280"/>
      <c r="G51" s="280">
        <v>559.59799999999996</v>
      </c>
      <c r="H51" s="282"/>
      <c r="I51" s="283"/>
      <c r="J51" s="284"/>
      <c r="K51" s="287"/>
      <c r="L51" s="288"/>
      <c r="M51" s="288"/>
      <c r="N51" s="288">
        <f t="shared" si="6"/>
        <v>559.59799999999996</v>
      </c>
      <c r="O51" s="288"/>
      <c r="P51" s="280"/>
      <c r="Q51" s="280"/>
      <c r="R51" s="280"/>
      <c r="S51" s="286">
        <v>4</v>
      </c>
      <c r="T51">
        <v>1</v>
      </c>
    </row>
    <row r="52" spans="1:20">
      <c r="A52" s="289"/>
      <c r="B52" s="280"/>
      <c r="C52" s="281">
        <v>45540</v>
      </c>
      <c r="D52" s="280" t="s">
        <v>211</v>
      </c>
      <c r="E52" s="280"/>
      <c r="F52" s="280"/>
      <c r="G52" s="280">
        <v>202.10400000000001</v>
      </c>
      <c r="H52" s="282"/>
      <c r="I52" s="283"/>
      <c r="J52" s="284"/>
      <c r="K52" s="287"/>
      <c r="L52" s="288"/>
      <c r="M52" s="288"/>
      <c r="N52" s="288">
        <f t="shared" si="6"/>
        <v>202.10400000000001</v>
      </c>
      <c r="O52" s="288"/>
      <c r="P52" s="280"/>
      <c r="Q52" s="280"/>
      <c r="R52" s="280"/>
      <c r="S52" s="286">
        <v>4</v>
      </c>
      <c r="T52">
        <v>1</v>
      </c>
    </row>
    <row r="53" spans="1:20">
      <c r="A53" s="289"/>
      <c r="B53" s="280"/>
      <c r="C53" s="281"/>
      <c r="D53" s="280"/>
      <c r="E53" s="280"/>
      <c r="F53" s="280"/>
      <c r="G53" s="280"/>
      <c r="H53" s="282"/>
      <c r="I53" s="283"/>
      <c r="J53" s="284"/>
      <c r="K53" s="287"/>
      <c r="L53" s="288"/>
      <c r="M53" s="288"/>
      <c r="N53" s="290"/>
      <c r="O53" s="288"/>
      <c r="P53" s="280"/>
      <c r="Q53" s="280"/>
      <c r="R53" s="280"/>
      <c r="S53" s="286"/>
      <c r="T53">
        <v>1</v>
      </c>
    </row>
    <row r="54" spans="1:20">
      <c r="A54" s="289"/>
      <c r="B54" s="280" t="s">
        <v>213</v>
      </c>
      <c r="C54" s="281"/>
      <c r="D54" s="280"/>
      <c r="E54" s="280"/>
      <c r="F54" s="280"/>
      <c r="G54" s="280"/>
      <c r="H54" s="282"/>
      <c r="I54" s="283"/>
      <c r="J54" s="284"/>
      <c r="K54" s="287"/>
      <c r="L54" s="288"/>
      <c r="M54" s="288"/>
      <c r="N54" s="290"/>
      <c r="O54" s="288"/>
      <c r="P54" s="280"/>
      <c r="Q54" s="280"/>
      <c r="R54" s="280"/>
      <c r="S54" s="286"/>
      <c r="T54">
        <v>1</v>
      </c>
    </row>
    <row r="55" spans="1:20">
      <c r="A55" s="224"/>
      <c r="B55" s="226"/>
      <c r="C55" s="225"/>
      <c r="D55" s="226"/>
      <c r="E55" s="226"/>
      <c r="F55" s="226"/>
      <c r="G55" s="226"/>
      <c r="H55" s="227"/>
      <c r="I55" s="228"/>
      <c r="J55" s="229"/>
      <c r="K55" s="233"/>
      <c r="L55" s="232"/>
      <c r="M55" s="232"/>
      <c r="N55" s="232"/>
      <c r="O55" s="232"/>
      <c r="P55" s="226"/>
      <c r="Q55" s="226"/>
      <c r="R55" s="226"/>
      <c r="S55" s="231"/>
      <c r="T55">
        <v>1</v>
      </c>
    </row>
    <row r="56" spans="1:20">
      <c r="A56" s="291">
        <f>+A37+1</f>
        <v>3</v>
      </c>
      <c r="B56" s="292" t="s">
        <v>217</v>
      </c>
      <c r="C56" s="293"/>
      <c r="D56" s="292"/>
      <c r="E56" s="292"/>
      <c r="F56" s="292"/>
      <c r="G56" s="292"/>
      <c r="H56" s="294"/>
      <c r="I56" s="295"/>
      <c r="J56" s="296"/>
      <c r="K56" s="297"/>
      <c r="L56" s="298"/>
      <c r="M56" s="298"/>
      <c r="N56" s="298"/>
      <c r="O56" s="298"/>
      <c r="P56" s="292"/>
      <c r="Q56" s="292"/>
      <c r="R56" s="292"/>
      <c r="S56" s="299"/>
      <c r="T56">
        <v>1</v>
      </c>
    </row>
    <row r="57" spans="1:20">
      <c r="A57" s="291"/>
      <c r="B57" s="292">
        <v>28075</v>
      </c>
      <c r="C57" s="293">
        <v>28110</v>
      </c>
      <c r="D57" s="292" t="s">
        <v>214</v>
      </c>
      <c r="E57" s="292">
        <v>8.4</v>
      </c>
      <c r="F57" s="292"/>
      <c r="G57" s="292">
        <v>62.351999999999997</v>
      </c>
      <c r="H57" s="294"/>
      <c r="I57" s="295"/>
      <c r="J57" s="296"/>
      <c r="K57" s="297">
        <f t="shared" ref="K57:K71" si="7">E57</f>
        <v>8.4</v>
      </c>
      <c r="L57" s="298">
        <f t="shared" ref="L57:L68" si="8">G57</f>
        <v>62.351999999999997</v>
      </c>
      <c r="M57" s="298"/>
      <c r="N57" s="298"/>
      <c r="O57" s="298"/>
      <c r="P57" s="292"/>
      <c r="Q57" s="292"/>
      <c r="R57" s="292"/>
      <c r="S57" s="299">
        <v>4</v>
      </c>
      <c r="T57">
        <v>1</v>
      </c>
    </row>
    <row r="58" spans="1:20">
      <c r="A58" s="291"/>
      <c r="B58" s="292">
        <v>28190</v>
      </c>
      <c r="C58" s="293">
        <v>28280</v>
      </c>
      <c r="D58" s="292" t="s">
        <v>214</v>
      </c>
      <c r="E58" s="292">
        <v>19.8</v>
      </c>
      <c r="F58" s="292"/>
      <c r="G58" s="292">
        <v>202.6</v>
      </c>
      <c r="H58" s="294"/>
      <c r="I58" s="295"/>
      <c r="J58" s="296"/>
      <c r="K58" s="297">
        <f t="shared" si="7"/>
        <v>19.8</v>
      </c>
      <c r="L58" s="298">
        <f t="shared" si="8"/>
        <v>202.6</v>
      </c>
      <c r="M58" s="298"/>
      <c r="N58" s="298"/>
      <c r="O58" s="298"/>
      <c r="P58" s="292"/>
      <c r="Q58" s="292"/>
      <c r="R58" s="292"/>
      <c r="S58" s="299">
        <v>3</v>
      </c>
      <c r="T58">
        <v>1</v>
      </c>
    </row>
    <row r="59" spans="1:20">
      <c r="A59" s="291"/>
      <c r="B59" s="292">
        <v>29530</v>
      </c>
      <c r="C59" s="293">
        <v>29580</v>
      </c>
      <c r="D59" s="292" t="s">
        <v>214</v>
      </c>
      <c r="E59" s="292">
        <v>27.2</v>
      </c>
      <c r="F59" s="292"/>
      <c r="G59" s="292">
        <v>153.15</v>
      </c>
      <c r="H59" s="294"/>
      <c r="I59" s="295"/>
      <c r="J59" s="296"/>
      <c r="K59" s="297">
        <f t="shared" si="7"/>
        <v>27.2</v>
      </c>
      <c r="L59" s="298">
        <f t="shared" si="8"/>
        <v>153.15</v>
      </c>
      <c r="M59" s="298"/>
      <c r="N59" s="298"/>
      <c r="O59" s="298"/>
      <c r="P59" s="292"/>
      <c r="Q59" s="292"/>
      <c r="R59" s="292"/>
      <c r="S59" s="299">
        <v>4</v>
      </c>
      <c r="T59">
        <v>1</v>
      </c>
    </row>
    <row r="60" spans="1:20">
      <c r="A60" s="291"/>
      <c r="B60" s="292">
        <v>33980</v>
      </c>
      <c r="C60" s="293">
        <v>34100</v>
      </c>
      <c r="D60" s="292" t="s">
        <v>214</v>
      </c>
      <c r="E60" s="292">
        <v>28.8</v>
      </c>
      <c r="F60" s="292"/>
      <c r="G60" s="292">
        <v>247.8</v>
      </c>
      <c r="H60" s="294"/>
      <c r="I60" s="295"/>
      <c r="J60" s="296"/>
      <c r="K60" s="297">
        <f t="shared" si="7"/>
        <v>28.8</v>
      </c>
      <c r="L60" s="298">
        <f t="shared" si="8"/>
        <v>247.8</v>
      </c>
      <c r="M60" s="298"/>
      <c r="N60" s="298"/>
      <c r="O60" s="298"/>
      <c r="P60" s="292"/>
      <c r="Q60" s="292"/>
      <c r="R60" s="292"/>
      <c r="S60" s="299">
        <v>3</v>
      </c>
      <c r="T60">
        <v>1</v>
      </c>
    </row>
    <row r="61" spans="1:20">
      <c r="A61" s="291"/>
      <c r="B61" s="292">
        <v>38100</v>
      </c>
      <c r="C61" s="293">
        <v>38124</v>
      </c>
      <c r="D61" s="292" t="s">
        <v>214</v>
      </c>
      <c r="E61" s="292">
        <v>2.88</v>
      </c>
      <c r="F61" s="292"/>
      <c r="G61" s="292">
        <v>33.6</v>
      </c>
      <c r="H61" s="294"/>
      <c r="I61" s="295"/>
      <c r="J61" s="296"/>
      <c r="K61" s="297">
        <f t="shared" si="7"/>
        <v>2.88</v>
      </c>
      <c r="L61" s="298">
        <f t="shared" si="8"/>
        <v>33.6</v>
      </c>
      <c r="M61" s="298"/>
      <c r="N61" s="298"/>
      <c r="O61" s="298"/>
      <c r="P61" s="292"/>
      <c r="Q61" s="292"/>
      <c r="R61" s="292"/>
      <c r="S61" s="299">
        <v>4</v>
      </c>
      <c r="T61">
        <v>1</v>
      </c>
    </row>
    <row r="62" spans="1:20">
      <c r="A62" s="291"/>
      <c r="B62" s="292">
        <v>43200</v>
      </c>
      <c r="C62" s="293">
        <v>43330</v>
      </c>
      <c r="D62" s="292" t="s">
        <v>214</v>
      </c>
      <c r="E62" s="292">
        <v>31.2</v>
      </c>
      <c r="F62" s="292"/>
      <c r="G62" s="292">
        <v>266.52499999999998</v>
      </c>
      <c r="H62" s="294"/>
      <c r="I62" s="295"/>
      <c r="J62" s="296"/>
      <c r="K62" s="297">
        <f t="shared" si="7"/>
        <v>31.2</v>
      </c>
      <c r="L62" s="298">
        <f t="shared" si="8"/>
        <v>266.52499999999998</v>
      </c>
      <c r="M62" s="298"/>
      <c r="N62" s="298"/>
      <c r="O62" s="298"/>
      <c r="P62" s="292"/>
      <c r="Q62" s="292"/>
      <c r="R62" s="292"/>
      <c r="S62" s="299">
        <v>3</v>
      </c>
      <c r="T62">
        <v>1</v>
      </c>
    </row>
    <row r="63" spans="1:20">
      <c r="A63" s="291"/>
      <c r="B63" s="292">
        <v>28000</v>
      </c>
      <c r="C63" s="293">
        <v>28055</v>
      </c>
      <c r="D63" s="292" t="s">
        <v>215</v>
      </c>
      <c r="E63" s="292">
        <v>13.2</v>
      </c>
      <c r="F63" s="292"/>
      <c r="G63" s="292">
        <v>97.98</v>
      </c>
      <c r="H63" s="294"/>
      <c r="I63" s="295"/>
      <c r="J63" s="296"/>
      <c r="K63" s="297">
        <f t="shared" si="7"/>
        <v>13.2</v>
      </c>
      <c r="L63" s="298">
        <f t="shared" si="8"/>
        <v>97.98</v>
      </c>
      <c r="M63" s="298"/>
      <c r="N63" s="298"/>
      <c r="O63" s="298"/>
      <c r="P63" s="292"/>
      <c r="Q63" s="292"/>
      <c r="R63" s="292"/>
      <c r="S63" s="299">
        <v>4</v>
      </c>
      <c r="T63">
        <v>1</v>
      </c>
    </row>
    <row r="64" spans="1:20">
      <c r="A64" s="291"/>
      <c r="B64" s="292">
        <v>28266</v>
      </c>
      <c r="C64" s="293">
        <v>28280</v>
      </c>
      <c r="D64" s="292" t="s">
        <v>215</v>
      </c>
      <c r="E64" s="292">
        <v>3.1</v>
      </c>
      <c r="F64" s="292"/>
      <c r="G64" s="292">
        <v>31.51</v>
      </c>
      <c r="H64" s="294"/>
      <c r="I64" s="295"/>
      <c r="J64" s="296"/>
      <c r="K64" s="297">
        <f t="shared" si="7"/>
        <v>3.1</v>
      </c>
      <c r="L64" s="298">
        <f t="shared" si="8"/>
        <v>31.51</v>
      </c>
      <c r="M64" s="298"/>
      <c r="N64" s="298"/>
      <c r="O64" s="298"/>
      <c r="P64" s="292"/>
      <c r="Q64" s="292"/>
      <c r="R64" s="292"/>
      <c r="S64" s="299">
        <v>4</v>
      </c>
      <c r="T64">
        <v>1</v>
      </c>
    </row>
    <row r="65" spans="1:20">
      <c r="A65" s="291"/>
      <c r="B65" s="292">
        <v>28280</v>
      </c>
      <c r="C65" s="293">
        <v>28310</v>
      </c>
      <c r="D65" s="292" t="s">
        <v>215</v>
      </c>
      <c r="E65" s="292">
        <v>3</v>
      </c>
      <c r="F65" s="292"/>
      <c r="G65" s="292">
        <v>40.950000000000003</v>
      </c>
      <c r="H65" s="294"/>
      <c r="I65" s="295"/>
      <c r="J65" s="296"/>
      <c r="K65" s="297">
        <f t="shared" si="7"/>
        <v>3</v>
      </c>
      <c r="L65" s="298">
        <f t="shared" si="8"/>
        <v>40.950000000000003</v>
      </c>
      <c r="M65" s="298"/>
      <c r="N65" s="298"/>
      <c r="O65" s="298"/>
      <c r="P65" s="292"/>
      <c r="Q65" s="292"/>
      <c r="R65" s="292"/>
      <c r="S65" s="299">
        <v>3</v>
      </c>
      <c r="T65">
        <v>1</v>
      </c>
    </row>
    <row r="66" spans="1:20">
      <c r="A66" s="291"/>
      <c r="B66" s="292">
        <v>29450</v>
      </c>
      <c r="C66" s="293">
        <v>29460</v>
      </c>
      <c r="D66" s="292" t="s">
        <v>215</v>
      </c>
      <c r="E66" s="292">
        <v>2.2000000000000002</v>
      </c>
      <c r="F66" s="292"/>
      <c r="G66" s="292">
        <v>14</v>
      </c>
      <c r="H66" s="294"/>
      <c r="I66" s="295"/>
      <c r="J66" s="296"/>
      <c r="K66" s="297">
        <f t="shared" si="7"/>
        <v>2.2000000000000002</v>
      </c>
      <c r="L66" s="298">
        <f t="shared" si="8"/>
        <v>14</v>
      </c>
      <c r="M66" s="298"/>
      <c r="N66" s="298"/>
      <c r="O66" s="298"/>
      <c r="P66" s="292"/>
      <c r="Q66" s="292"/>
      <c r="R66" s="292"/>
      <c r="S66" s="299">
        <v>4</v>
      </c>
      <c r="T66">
        <v>1</v>
      </c>
    </row>
    <row r="67" spans="1:20">
      <c r="A67" s="291"/>
      <c r="B67" s="292">
        <v>29460</v>
      </c>
      <c r="C67" s="293">
        <v>29510</v>
      </c>
      <c r="D67" s="292" t="s">
        <v>215</v>
      </c>
      <c r="E67" s="292">
        <v>12</v>
      </c>
      <c r="F67" s="292"/>
      <c r="G67" s="292">
        <v>89.07</v>
      </c>
      <c r="H67" s="294"/>
      <c r="I67" s="295"/>
      <c r="J67" s="296"/>
      <c r="K67" s="297">
        <f t="shared" si="7"/>
        <v>12</v>
      </c>
      <c r="L67" s="298">
        <f t="shared" si="8"/>
        <v>89.07</v>
      </c>
      <c r="M67" s="298"/>
      <c r="N67" s="298"/>
      <c r="O67" s="298"/>
      <c r="P67" s="292"/>
      <c r="Q67" s="292"/>
      <c r="R67" s="292"/>
      <c r="S67" s="299">
        <v>4</v>
      </c>
      <c r="T67">
        <v>1</v>
      </c>
    </row>
    <row r="68" spans="1:20">
      <c r="A68" s="291"/>
      <c r="B68" s="292">
        <v>29620</v>
      </c>
      <c r="C68" s="293">
        <v>29630</v>
      </c>
      <c r="D68" s="292" t="s">
        <v>215</v>
      </c>
      <c r="E68" s="292">
        <v>2.2000000000000002</v>
      </c>
      <c r="F68" s="292"/>
      <c r="G68" s="292">
        <v>17.815000000000001</v>
      </c>
      <c r="H68" s="294"/>
      <c r="I68" s="295"/>
      <c r="J68" s="296"/>
      <c r="K68" s="297">
        <f t="shared" si="7"/>
        <v>2.2000000000000002</v>
      </c>
      <c r="L68" s="298">
        <f t="shared" si="8"/>
        <v>17.815000000000001</v>
      </c>
      <c r="M68" s="298"/>
      <c r="N68" s="298"/>
      <c r="O68" s="298"/>
      <c r="P68" s="292"/>
      <c r="Q68" s="292"/>
      <c r="R68" s="292"/>
      <c r="S68" s="299">
        <v>4</v>
      </c>
      <c r="T68">
        <v>1</v>
      </c>
    </row>
    <row r="69" spans="1:20">
      <c r="A69" s="291"/>
      <c r="B69" s="292">
        <v>36380</v>
      </c>
      <c r="C69" s="293">
        <v>36404</v>
      </c>
      <c r="D69" s="292" t="s">
        <v>215</v>
      </c>
      <c r="E69" s="292">
        <v>18.72</v>
      </c>
      <c r="F69" s="292"/>
      <c r="G69" s="292">
        <v>226.86</v>
      </c>
      <c r="H69" s="294"/>
      <c r="I69" s="295"/>
      <c r="J69" s="296"/>
      <c r="K69" s="297">
        <f t="shared" si="7"/>
        <v>18.72</v>
      </c>
      <c r="L69" s="298"/>
      <c r="M69" s="298"/>
      <c r="N69" s="298">
        <f>+G69</f>
        <v>226.86</v>
      </c>
      <c r="O69" s="298"/>
      <c r="P69" s="292"/>
      <c r="Q69" s="292"/>
      <c r="R69" s="292"/>
      <c r="S69" s="299">
        <v>4</v>
      </c>
      <c r="T69">
        <v>1</v>
      </c>
    </row>
    <row r="70" spans="1:20">
      <c r="A70" s="291"/>
      <c r="B70" s="292">
        <v>43190</v>
      </c>
      <c r="C70" s="293">
        <v>43200</v>
      </c>
      <c r="D70" s="292" t="s">
        <v>215</v>
      </c>
      <c r="E70" s="292">
        <v>2.2000000000000002</v>
      </c>
      <c r="F70" s="292"/>
      <c r="G70" s="292">
        <v>14</v>
      </c>
      <c r="H70" s="294"/>
      <c r="I70" s="295"/>
      <c r="J70" s="296"/>
      <c r="K70" s="297">
        <f t="shared" si="7"/>
        <v>2.2000000000000002</v>
      </c>
      <c r="L70" s="298">
        <f>G70</f>
        <v>14</v>
      </c>
      <c r="M70" s="298"/>
      <c r="N70" s="298"/>
      <c r="O70" s="298"/>
      <c r="P70" s="292"/>
      <c r="Q70" s="292"/>
      <c r="R70" s="292"/>
      <c r="S70" s="299">
        <v>4</v>
      </c>
      <c r="T70">
        <v>1</v>
      </c>
    </row>
    <row r="71" spans="1:20">
      <c r="A71" s="291"/>
      <c r="B71" s="292">
        <v>43230</v>
      </c>
      <c r="C71" s="293">
        <v>43250</v>
      </c>
      <c r="D71" s="292" t="s">
        <v>215</v>
      </c>
      <c r="E71" s="292">
        <v>12.5</v>
      </c>
      <c r="F71" s="292"/>
      <c r="G71" s="292">
        <v>74.25</v>
      </c>
      <c r="H71" s="294"/>
      <c r="I71" s="295"/>
      <c r="J71" s="296"/>
      <c r="K71" s="297">
        <f t="shared" si="7"/>
        <v>12.5</v>
      </c>
      <c r="L71" s="298">
        <f>G71</f>
        <v>74.25</v>
      </c>
      <c r="M71" s="298"/>
      <c r="N71" s="298"/>
      <c r="O71" s="298"/>
      <c r="P71" s="292"/>
      <c r="Q71" s="292"/>
      <c r="R71" s="292"/>
      <c r="S71" s="299">
        <v>3</v>
      </c>
      <c r="T71">
        <v>1</v>
      </c>
    </row>
    <row r="72" spans="1:20">
      <c r="A72" s="224"/>
      <c r="B72" s="226"/>
      <c r="C72" s="225"/>
      <c r="D72" s="226"/>
      <c r="E72" s="226"/>
      <c r="F72" s="226"/>
      <c r="G72" s="226"/>
      <c r="H72" s="227"/>
      <c r="I72" s="228"/>
      <c r="J72" s="229"/>
      <c r="K72" s="233"/>
      <c r="L72" s="232"/>
      <c r="M72" s="232"/>
      <c r="N72" s="232"/>
      <c r="O72" s="232"/>
      <c r="P72" s="226"/>
      <c r="Q72" s="226"/>
      <c r="R72" s="226"/>
      <c r="S72" s="231"/>
      <c r="T72">
        <v>1</v>
      </c>
    </row>
    <row r="73" spans="1:20">
      <c r="A73" s="271">
        <f>+A56+1</f>
        <v>4</v>
      </c>
      <c r="B73" s="269" t="s">
        <v>218</v>
      </c>
      <c r="C73" s="270"/>
      <c r="D73" s="271"/>
      <c r="E73" s="271"/>
      <c r="F73" s="271"/>
      <c r="G73" s="271"/>
      <c r="H73" s="272"/>
      <c r="I73" s="273"/>
      <c r="J73" s="274"/>
      <c r="K73" s="279"/>
      <c r="L73" s="278"/>
      <c r="M73" s="278"/>
      <c r="N73" s="278"/>
      <c r="O73" s="278"/>
      <c r="P73" s="271"/>
      <c r="Q73" s="271"/>
      <c r="R73" s="271"/>
      <c r="S73" s="276"/>
      <c r="T73">
        <v>1</v>
      </c>
    </row>
    <row r="74" spans="1:20">
      <c r="A74" s="271"/>
      <c r="B74" s="271"/>
      <c r="C74" s="270"/>
      <c r="D74" s="271"/>
      <c r="E74" s="271"/>
      <c r="F74" s="271"/>
      <c r="G74" s="271"/>
      <c r="H74" s="272"/>
      <c r="I74" s="273"/>
      <c r="J74" s="274"/>
      <c r="K74" s="279"/>
      <c r="L74" s="278"/>
      <c r="M74" s="278"/>
      <c r="N74" s="278"/>
      <c r="O74" s="278"/>
      <c r="P74" s="271"/>
      <c r="Q74" s="271"/>
      <c r="R74" s="271"/>
      <c r="S74" s="276"/>
      <c r="T74">
        <v>1</v>
      </c>
    </row>
    <row r="75" spans="1:20">
      <c r="A75" s="269"/>
      <c r="B75" s="300"/>
      <c r="C75" s="270">
        <v>28065</v>
      </c>
      <c r="D75" s="276" t="s">
        <v>214</v>
      </c>
      <c r="E75" s="278">
        <f>21.831/2</f>
        <v>10.9155</v>
      </c>
      <c r="F75" s="278">
        <f>82.563/2</f>
        <v>41.281500000000001</v>
      </c>
      <c r="G75" s="271">
        <f>133.963/2</f>
        <v>66.981499999999997</v>
      </c>
      <c r="H75" s="272"/>
      <c r="I75" s="301">
        <f>77.487/2</f>
        <v>38.743499999999997</v>
      </c>
      <c r="J75" s="274"/>
      <c r="K75" s="279">
        <f>E75</f>
        <v>10.9155</v>
      </c>
      <c r="L75" s="278"/>
      <c r="M75" s="278"/>
      <c r="N75" s="278">
        <f>F75+G75+I75</f>
        <v>147.00650000000002</v>
      </c>
      <c r="O75" s="278"/>
      <c r="P75" s="271"/>
      <c r="Q75" s="271"/>
      <c r="R75" s="271"/>
      <c r="S75" s="276">
        <v>4</v>
      </c>
      <c r="T75">
        <v>1</v>
      </c>
    </row>
    <row r="76" spans="1:20">
      <c r="A76" s="269"/>
      <c r="B76" s="300"/>
      <c r="C76" s="300">
        <v>29604</v>
      </c>
      <c r="D76" s="302" t="s">
        <v>214</v>
      </c>
      <c r="E76" s="271">
        <f>(33.217/2)+9.508/2</f>
        <v>21.362499999999997</v>
      </c>
      <c r="F76" s="271">
        <f>(192.331/2)+40.836/2</f>
        <v>116.58349999999999</v>
      </c>
      <c r="G76" s="271">
        <f>(310.212/2)+30.299</f>
        <v>185.405</v>
      </c>
      <c r="H76" s="272"/>
      <c r="I76" s="273">
        <f>178.63/2</f>
        <v>89.314999999999998</v>
      </c>
      <c r="J76" s="274"/>
      <c r="K76" s="279">
        <f t="shared" ref="K76:K117" si="9">E76</f>
        <v>21.362499999999997</v>
      </c>
      <c r="L76" s="278"/>
      <c r="M76" s="278"/>
      <c r="N76" s="278">
        <f t="shared" ref="N76:N117" si="10">F76+G76+I76</f>
        <v>391.30349999999999</v>
      </c>
      <c r="O76" s="278"/>
      <c r="P76" s="271"/>
      <c r="Q76" s="271"/>
      <c r="R76" s="271"/>
      <c r="S76" s="276">
        <v>3</v>
      </c>
      <c r="T76">
        <v>1</v>
      </c>
    </row>
    <row r="77" spans="1:20">
      <c r="A77" s="269"/>
      <c r="B77" s="300"/>
      <c r="C77" s="300">
        <v>29604</v>
      </c>
      <c r="D77" s="302" t="s">
        <v>215</v>
      </c>
      <c r="E77" s="271">
        <f>(33.217/2)+9.508/2</f>
        <v>21.362499999999997</v>
      </c>
      <c r="F77" s="271">
        <f>(192.331/2)+40.836/2</f>
        <v>116.58349999999999</v>
      </c>
      <c r="G77" s="271">
        <f>(310.212/2)+30.299</f>
        <v>185.405</v>
      </c>
      <c r="H77" s="272"/>
      <c r="I77" s="273">
        <f>178.63/2</f>
        <v>89.314999999999998</v>
      </c>
      <c r="J77" s="274"/>
      <c r="K77" s="279">
        <f t="shared" si="9"/>
        <v>21.362499999999997</v>
      </c>
      <c r="L77" s="278"/>
      <c r="M77" s="278"/>
      <c r="N77" s="278">
        <f t="shared" si="10"/>
        <v>391.30349999999999</v>
      </c>
      <c r="O77" s="278"/>
      <c r="P77" s="271"/>
      <c r="Q77" s="271"/>
      <c r="R77" s="271"/>
      <c r="S77" s="276">
        <v>3</v>
      </c>
      <c r="T77">
        <v>1</v>
      </c>
    </row>
    <row r="78" spans="1:20">
      <c r="A78" s="269"/>
      <c r="B78" s="300"/>
      <c r="C78" s="270">
        <v>29935</v>
      </c>
      <c r="D78" s="276" t="s">
        <v>211</v>
      </c>
      <c r="E78" s="278">
        <v>17.552600000000002</v>
      </c>
      <c r="F78" s="278">
        <v>58.575000000000003</v>
      </c>
      <c r="G78" s="271">
        <v>60.103999999999999</v>
      </c>
      <c r="H78" s="272"/>
      <c r="I78" s="301">
        <v>54.390999999999998</v>
      </c>
      <c r="J78" s="274"/>
      <c r="K78" s="279">
        <f t="shared" si="9"/>
        <v>17.552600000000002</v>
      </c>
      <c r="L78" s="278"/>
      <c r="M78" s="278"/>
      <c r="N78" s="278">
        <f t="shared" si="10"/>
        <v>173.07</v>
      </c>
      <c r="O78" s="278"/>
      <c r="P78" s="271"/>
      <c r="Q78" s="271"/>
      <c r="R78" s="271"/>
      <c r="S78" s="276">
        <v>4</v>
      </c>
      <c r="T78">
        <v>1</v>
      </c>
    </row>
    <row r="79" spans="1:20">
      <c r="A79" s="269"/>
      <c r="B79" s="300"/>
      <c r="C79" s="270">
        <v>30380</v>
      </c>
      <c r="D79" s="276" t="s">
        <v>211</v>
      </c>
      <c r="E79" s="278">
        <v>17.004999999999999</v>
      </c>
      <c r="F79" s="278">
        <v>29.518000000000001</v>
      </c>
      <c r="G79" s="271">
        <v>102.419</v>
      </c>
      <c r="H79" s="272"/>
      <c r="I79" s="301">
        <f>61.11</f>
        <v>61.11</v>
      </c>
      <c r="J79" s="274"/>
      <c r="K79" s="279">
        <f t="shared" si="9"/>
        <v>17.004999999999999</v>
      </c>
      <c r="L79" s="278"/>
      <c r="M79" s="278"/>
      <c r="N79" s="278">
        <f t="shared" si="10"/>
        <v>193.04700000000003</v>
      </c>
      <c r="O79" s="278"/>
      <c r="P79" s="271"/>
      <c r="Q79" s="271"/>
      <c r="R79" s="271"/>
      <c r="S79" s="303">
        <v>5</v>
      </c>
      <c r="T79">
        <v>1</v>
      </c>
    </row>
    <row r="80" spans="1:20">
      <c r="A80" s="269"/>
      <c r="B80" s="300"/>
      <c r="C80" s="270">
        <v>30480</v>
      </c>
      <c r="D80" s="276" t="s">
        <v>211</v>
      </c>
      <c r="E80" s="278">
        <v>24.181899999999999</v>
      </c>
      <c r="F80" s="278">
        <v>98.878200000000007</v>
      </c>
      <c r="G80" s="271">
        <v>137.0076</v>
      </c>
      <c r="H80" s="272"/>
      <c r="I80" s="301">
        <v>93.061000000000007</v>
      </c>
      <c r="J80" s="274"/>
      <c r="K80" s="279">
        <f t="shared" si="9"/>
        <v>24.181899999999999</v>
      </c>
      <c r="L80" s="278"/>
      <c r="M80" s="278"/>
      <c r="N80" s="278">
        <f t="shared" si="10"/>
        <v>328.94680000000005</v>
      </c>
      <c r="O80" s="278"/>
      <c r="P80" s="271"/>
      <c r="Q80" s="271"/>
      <c r="R80" s="271"/>
      <c r="S80" s="276">
        <v>4</v>
      </c>
      <c r="T80">
        <v>1</v>
      </c>
    </row>
    <row r="81" spans="1:20">
      <c r="A81" s="269"/>
      <c r="B81" s="300"/>
      <c r="C81" s="270">
        <v>30730</v>
      </c>
      <c r="D81" s="276" t="s">
        <v>211</v>
      </c>
      <c r="E81" s="278">
        <v>17.946999999999999</v>
      </c>
      <c r="F81" s="278">
        <v>68.482799999999997</v>
      </c>
      <c r="G81" s="271">
        <v>103.63499999999999</v>
      </c>
      <c r="H81" s="272"/>
      <c r="I81" s="301">
        <v>59.921999999999997</v>
      </c>
      <c r="J81" s="274"/>
      <c r="K81" s="279">
        <f t="shared" si="9"/>
        <v>17.946999999999999</v>
      </c>
      <c r="L81" s="278"/>
      <c r="M81" s="278"/>
      <c r="N81" s="278">
        <f t="shared" si="10"/>
        <v>232.03979999999999</v>
      </c>
      <c r="O81" s="278"/>
      <c r="P81" s="271"/>
      <c r="Q81" s="271"/>
      <c r="R81" s="271"/>
      <c r="S81" s="276">
        <v>4</v>
      </c>
      <c r="T81">
        <v>1</v>
      </c>
    </row>
    <row r="82" spans="1:20">
      <c r="A82" s="269"/>
      <c r="B82" s="300"/>
      <c r="C82" s="300">
        <v>30890</v>
      </c>
      <c r="D82" s="302" t="s">
        <v>214</v>
      </c>
      <c r="E82" s="271">
        <f>13.957/2+3.8</f>
        <v>10.778500000000001</v>
      </c>
      <c r="F82" s="271">
        <f>(39.424/2)+4.419</f>
        <v>24.131</v>
      </c>
      <c r="G82" s="271">
        <f>(52.566/2)+4.051</f>
        <v>30.334000000000003</v>
      </c>
      <c r="H82" s="272"/>
      <c r="I82" s="273">
        <f>36.139/2</f>
        <v>18.069500000000001</v>
      </c>
      <c r="J82" s="274"/>
      <c r="K82" s="279">
        <f t="shared" si="9"/>
        <v>10.778500000000001</v>
      </c>
      <c r="L82" s="278"/>
      <c r="M82" s="278"/>
      <c r="N82" s="278">
        <f t="shared" si="10"/>
        <v>72.534500000000008</v>
      </c>
      <c r="O82" s="278"/>
      <c r="P82" s="271"/>
      <c r="Q82" s="271"/>
      <c r="R82" s="271"/>
      <c r="S82" s="276">
        <v>3</v>
      </c>
      <c r="T82">
        <v>1</v>
      </c>
    </row>
    <row r="83" spans="1:20">
      <c r="A83" s="269"/>
      <c r="B83" s="300"/>
      <c r="C83" s="300">
        <v>30890</v>
      </c>
      <c r="D83" s="302" t="s">
        <v>215</v>
      </c>
      <c r="E83" s="271">
        <f>13.957/2+3.8</f>
        <v>10.778500000000001</v>
      </c>
      <c r="F83" s="271">
        <f>(39.424/2)+3.419</f>
        <v>23.131</v>
      </c>
      <c r="G83" s="271">
        <f>(52.566/2)+3.2</f>
        <v>29.483000000000001</v>
      </c>
      <c r="H83" s="272"/>
      <c r="I83" s="273">
        <f>36.139/2</f>
        <v>18.069500000000001</v>
      </c>
      <c r="J83" s="274"/>
      <c r="K83" s="279">
        <f t="shared" si="9"/>
        <v>10.778500000000001</v>
      </c>
      <c r="L83" s="278"/>
      <c r="M83" s="278"/>
      <c r="N83" s="278">
        <f t="shared" si="10"/>
        <v>70.683500000000009</v>
      </c>
      <c r="O83" s="278"/>
      <c r="P83" s="271"/>
      <c r="Q83" s="271"/>
      <c r="R83" s="271"/>
      <c r="S83" s="276">
        <v>3</v>
      </c>
      <c r="T83">
        <v>1</v>
      </c>
    </row>
    <row r="84" spans="1:20">
      <c r="A84" s="269"/>
      <c r="B84" s="300"/>
      <c r="C84" s="300">
        <v>31202</v>
      </c>
      <c r="D84" s="302" t="s">
        <v>215</v>
      </c>
      <c r="E84" s="271">
        <f>22.315/2</f>
        <v>11.157500000000001</v>
      </c>
      <c r="F84" s="271">
        <f>(96.571/2)</f>
        <v>48.285499999999999</v>
      </c>
      <c r="G84" s="271">
        <f>(173.148/2)</f>
        <v>86.573999999999998</v>
      </c>
      <c r="H84" s="272"/>
      <c r="I84" s="273">
        <f>85.841/2</f>
        <v>42.920499999999997</v>
      </c>
      <c r="J84" s="274"/>
      <c r="K84" s="279">
        <f t="shared" si="9"/>
        <v>11.157500000000001</v>
      </c>
      <c r="L84" s="278"/>
      <c r="M84" s="278"/>
      <c r="N84" s="278">
        <f t="shared" si="10"/>
        <v>177.78</v>
      </c>
      <c r="O84" s="278"/>
      <c r="P84" s="271"/>
      <c r="Q84" s="271"/>
      <c r="R84" s="271"/>
      <c r="S84" s="276">
        <v>3</v>
      </c>
      <c r="T84">
        <v>1</v>
      </c>
    </row>
    <row r="85" spans="1:20">
      <c r="A85" s="269"/>
      <c r="B85" s="300"/>
      <c r="C85" s="270">
        <v>31202</v>
      </c>
      <c r="D85" s="276" t="s">
        <v>214</v>
      </c>
      <c r="E85" s="278">
        <v>22.315000000000001</v>
      </c>
      <c r="F85" s="278">
        <v>96.57</v>
      </c>
      <c r="G85" s="271">
        <v>173.14869999999999</v>
      </c>
      <c r="H85" s="272"/>
      <c r="I85" s="301">
        <v>85.840599999999995</v>
      </c>
      <c r="J85" s="274"/>
      <c r="K85" s="279">
        <f t="shared" si="9"/>
        <v>22.315000000000001</v>
      </c>
      <c r="L85" s="278"/>
      <c r="M85" s="278"/>
      <c r="N85" s="278">
        <f t="shared" si="10"/>
        <v>355.55930000000001</v>
      </c>
      <c r="O85" s="278"/>
      <c r="P85" s="271"/>
      <c r="Q85" s="271"/>
      <c r="R85" s="271"/>
      <c r="S85" s="276">
        <v>4</v>
      </c>
      <c r="T85">
        <v>1</v>
      </c>
    </row>
    <row r="86" spans="1:20">
      <c r="A86" s="269"/>
      <c r="B86" s="300"/>
      <c r="C86" s="300">
        <v>31456</v>
      </c>
      <c r="D86" s="302" t="s">
        <v>214</v>
      </c>
      <c r="E86" s="271">
        <f>18.852/2+4.5</f>
        <v>13.926</v>
      </c>
      <c r="F86" s="271">
        <f>(81.067/2)+4.3</f>
        <v>44.833499999999994</v>
      </c>
      <c r="G86" s="271">
        <f>(117.464/2)+2.15</f>
        <v>60.881999999999998</v>
      </c>
      <c r="H86" s="272"/>
      <c r="I86" s="273">
        <f>72.059/2</f>
        <v>36.029499999999999</v>
      </c>
      <c r="J86" s="274"/>
      <c r="K86" s="279">
        <f t="shared" si="9"/>
        <v>13.926</v>
      </c>
      <c r="L86" s="278"/>
      <c r="M86" s="278"/>
      <c r="N86" s="278">
        <f t="shared" si="10"/>
        <v>141.745</v>
      </c>
      <c r="O86" s="278"/>
      <c r="P86" s="271"/>
      <c r="Q86" s="271"/>
      <c r="R86" s="271"/>
      <c r="S86" s="276">
        <v>3</v>
      </c>
      <c r="T86">
        <v>1</v>
      </c>
    </row>
    <row r="87" spans="1:20">
      <c r="A87" s="269"/>
      <c r="B87" s="300"/>
      <c r="C87" s="300">
        <v>31456</v>
      </c>
      <c r="D87" s="302" t="s">
        <v>215</v>
      </c>
      <c r="E87" s="271">
        <f>18.852/2+4.5</f>
        <v>13.926</v>
      </c>
      <c r="F87" s="271">
        <f>(81.067/2)+4.3</f>
        <v>44.833499999999994</v>
      </c>
      <c r="G87" s="271">
        <f>(117.464/2)+2.15</f>
        <v>60.881999999999998</v>
      </c>
      <c r="H87" s="272"/>
      <c r="I87" s="273">
        <f>72.059/2</f>
        <v>36.029499999999999</v>
      </c>
      <c r="J87" s="274"/>
      <c r="K87" s="279">
        <f t="shared" si="9"/>
        <v>13.926</v>
      </c>
      <c r="L87" s="278"/>
      <c r="M87" s="278"/>
      <c r="N87" s="278">
        <f t="shared" si="10"/>
        <v>141.745</v>
      </c>
      <c r="O87" s="278"/>
      <c r="P87" s="271"/>
      <c r="Q87" s="271"/>
      <c r="R87" s="271"/>
      <c r="S87" s="276">
        <v>3</v>
      </c>
      <c r="T87">
        <v>1</v>
      </c>
    </row>
    <row r="88" spans="1:20">
      <c r="A88" s="269"/>
      <c r="B88" s="300"/>
      <c r="C88" s="270">
        <v>31644</v>
      </c>
      <c r="D88" s="276" t="s">
        <v>211</v>
      </c>
      <c r="E88" s="278">
        <v>13.375999999999999</v>
      </c>
      <c r="F88" s="278">
        <v>37.799999999999997</v>
      </c>
      <c r="G88" s="271">
        <v>75.075000000000003</v>
      </c>
      <c r="H88" s="272"/>
      <c r="I88" s="301">
        <v>37.799999999999997</v>
      </c>
      <c r="J88" s="274"/>
      <c r="K88" s="279">
        <f t="shared" si="9"/>
        <v>13.375999999999999</v>
      </c>
      <c r="L88" s="278"/>
      <c r="M88" s="278"/>
      <c r="N88" s="278">
        <f t="shared" si="10"/>
        <v>150.67500000000001</v>
      </c>
      <c r="O88" s="278"/>
      <c r="P88" s="271"/>
      <c r="Q88" s="271"/>
      <c r="R88" s="271"/>
      <c r="S88" s="276">
        <v>4</v>
      </c>
      <c r="T88">
        <v>1</v>
      </c>
    </row>
    <row r="89" spans="1:20">
      <c r="A89" s="269"/>
      <c r="B89" s="300"/>
      <c r="C89" s="270">
        <v>31956</v>
      </c>
      <c r="D89" s="276" t="s">
        <v>211</v>
      </c>
      <c r="E89" s="278">
        <v>17.966000000000001</v>
      </c>
      <c r="F89" s="278">
        <v>59.728000000000002</v>
      </c>
      <c r="G89" s="271">
        <v>102.13</v>
      </c>
      <c r="H89" s="272"/>
      <c r="I89" s="301">
        <v>55.460999999999999</v>
      </c>
      <c r="J89" s="274"/>
      <c r="K89" s="279">
        <f t="shared" si="9"/>
        <v>17.966000000000001</v>
      </c>
      <c r="L89" s="278"/>
      <c r="M89" s="278"/>
      <c r="N89" s="278">
        <f t="shared" si="10"/>
        <v>217.31900000000002</v>
      </c>
      <c r="O89" s="278"/>
      <c r="P89" s="271"/>
      <c r="Q89" s="271"/>
      <c r="R89" s="271"/>
      <c r="S89" s="276">
        <v>4</v>
      </c>
      <c r="T89">
        <v>1</v>
      </c>
    </row>
    <row r="90" spans="1:20">
      <c r="A90" s="269"/>
      <c r="B90" s="300"/>
      <c r="C90" s="270">
        <v>33426</v>
      </c>
      <c r="D90" s="276" t="s">
        <v>215</v>
      </c>
      <c r="E90" s="278">
        <f>20.0265/2</f>
        <v>10.013249999999999</v>
      </c>
      <c r="F90" s="278">
        <f>76.51776/2</f>
        <v>38.258879999999998</v>
      </c>
      <c r="G90" s="271">
        <f>130.0642508/2</f>
        <v>65.032125399999998</v>
      </c>
      <c r="H90" s="272"/>
      <c r="I90" s="301">
        <f>66.95304/2</f>
        <v>33.476520000000001</v>
      </c>
      <c r="J90" s="274"/>
      <c r="K90" s="279">
        <f t="shared" si="9"/>
        <v>10.013249999999999</v>
      </c>
      <c r="L90" s="278"/>
      <c r="M90" s="278"/>
      <c r="N90" s="278">
        <f t="shared" si="10"/>
        <v>136.76752539999998</v>
      </c>
      <c r="O90" s="278"/>
      <c r="P90" s="271"/>
      <c r="Q90" s="271"/>
      <c r="R90" s="271"/>
      <c r="S90" s="276">
        <v>4</v>
      </c>
      <c r="T90">
        <v>1</v>
      </c>
    </row>
    <row r="91" spans="1:20">
      <c r="A91" s="269"/>
      <c r="B91" s="300"/>
      <c r="C91" s="270">
        <v>33426</v>
      </c>
      <c r="D91" s="276" t="s">
        <v>214</v>
      </c>
      <c r="E91" s="278">
        <v>10.78</v>
      </c>
      <c r="F91" s="278">
        <v>22.09</v>
      </c>
      <c r="G91" s="271">
        <v>47.421999999999997</v>
      </c>
      <c r="H91" s="272"/>
      <c r="I91" s="301">
        <v>66.953000000000003</v>
      </c>
      <c r="J91" s="274"/>
      <c r="K91" s="279">
        <f t="shared" si="9"/>
        <v>10.78</v>
      </c>
      <c r="L91" s="278"/>
      <c r="M91" s="278"/>
      <c r="N91" s="278">
        <f t="shared" si="10"/>
        <v>136.465</v>
      </c>
      <c r="O91" s="278"/>
      <c r="P91" s="271"/>
      <c r="Q91" s="271"/>
      <c r="R91" s="271"/>
      <c r="S91" s="303">
        <v>5</v>
      </c>
      <c r="T91">
        <v>1</v>
      </c>
    </row>
    <row r="92" spans="1:20">
      <c r="A92" s="269"/>
      <c r="B92" s="300"/>
      <c r="C92" s="270">
        <v>33520</v>
      </c>
      <c r="D92" s="276" t="s">
        <v>211</v>
      </c>
      <c r="E92" s="278">
        <v>19.3</v>
      </c>
      <c r="F92" s="278">
        <v>124.95</v>
      </c>
      <c r="G92" s="271">
        <v>149.88499999999999</v>
      </c>
      <c r="H92" s="272"/>
      <c r="I92" s="301">
        <v>118.705</v>
      </c>
      <c r="J92" s="274"/>
      <c r="K92" s="279">
        <f t="shared" si="9"/>
        <v>19.3</v>
      </c>
      <c r="L92" s="278"/>
      <c r="M92" s="278"/>
      <c r="N92" s="278">
        <f t="shared" si="10"/>
        <v>393.53999999999996</v>
      </c>
      <c r="O92" s="278"/>
      <c r="P92" s="271"/>
      <c r="Q92" s="271"/>
      <c r="R92" s="271"/>
      <c r="S92" s="276">
        <v>4</v>
      </c>
      <c r="T92">
        <v>1</v>
      </c>
    </row>
    <row r="93" spans="1:20">
      <c r="A93" s="269"/>
      <c r="B93" s="300"/>
      <c r="C93" s="270">
        <v>33567</v>
      </c>
      <c r="D93" s="276" t="s">
        <v>211</v>
      </c>
      <c r="E93" s="278">
        <v>18.595500000000005</v>
      </c>
      <c r="F93" s="278">
        <v>71.022720000000021</v>
      </c>
      <c r="G93" s="271">
        <v>120.72382760000001</v>
      </c>
      <c r="H93" s="272"/>
      <c r="I93" s="301">
        <v>62.144880000000008</v>
      </c>
      <c r="J93" s="274"/>
      <c r="K93" s="279">
        <f t="shared" si="9"/>
        <v>18.595500000000005</v>
      </c>
      <c r="L93" s="278"/>
      <c r="M93" s="278"/>
      <c r="N93" s="278">
        <f t="shared" si="10"/>
        <v>253.89142760000004</v>
      </c>
      <c r="O93" s="278"/>
      <c r="P93" s="271"/>
      <c r="Q93" s="271"/>
      <c r="R93" s="271"/>
      <c r="S93" s="276">
        <v>4</v>
      </c>
      <c r="T93">
        <v>1</v>
      </c>
    </row>
    <row r="94" spans="1:20">
      <c r="A94" s="269"/>
      <c r="B94" s="300"/>
      <c r="C94" s="270">
        <v>33825</v>
      </c>
      <c r="D94" s="276" t="s">
        <v>211</v>
      </c>
      <c r="E94" s="278">
        <v>17.248000000000001</v>
      </c>
      <c r="F94" s="278">
        <v>65.8</v>
      </c>
      <c r="G94" s="271">
        <v>100.22599999999998</v>
      </c>
      <c r="H94" s="272"/>
      <c r="I94" s="301">
        <v>57.574999999999989</v>
      </c>
      <c r="J94" s="274"/>
      <c r="K94" s="279">
        <f t="shared" si="9"/>
        <v>17.248000000000001</v>
      </c>
      <c r="L94" s="278"/>
      <c r="M94" s="278"/>
      <c r="N94" s="278">
        <f t="shared" si="10"/>
        <v>223.60099999999997</v>
      </c>
      <c r="O94" s="278"/>
      <c r="P94" s="271"/>
      <c r="Q94" s="271"/>
      <c r="R94" s="271"/>
      <c r="S94" s="276">
        <v>4</v>
      </c>
      <c r="T94">
        <v>1</v>
      </c>
    </row>
    <row r="95" spans="1:20">
      <c r="A95" s="269"/>
      <c r="B95" s="300"/>
      <c r="C95" s="300">
        <v>33930</v>
      </c>
      <c r="D95" s="302" t="s">
        <v>214</v>
      </c>
      <c r="E95" s="271">
        <f>33.379/2+6</f>
        <v>22.689499999999999</v>
      </c>
      <c r="F95" s="271">
        <f>(193.269/2)+5.8</f>
        <v>102.4345</v>
      </c>
      <c r="G95" s="271">
        <f>(314.062/2)+2.9</f>
        <v>159.93100000000001</v>
      </c>
      <c r="H95" s="272"/>
      <c r="I95" s="273">
        <f>177.163/2</f>
        <v>88.581500000000005</v>
      </c>
      <c r="J95" s="274"/>
      <c r="K95" s="279">
        <f t="shared" si="9"/>
        <v>22.689499999999999</v>
      </c>
      <c r="L95" s="278"/>
      <c r="M95" s="278"/>
      <c r="N95" s="278">
        <f t="shared" si="10"/>
        <v>350.947</v>
      </c>
      <c r="O95" s="278"/>
      <c r="P95" s="271"/>
      <c r="Q95" s="271"/>
      <c r="R95" s="271"/>
      <c r="S95" s="276">
        <v>3</v>
      </c>
      <c r="T95">
        <v>1</v>
      </c>
    </row>
    <row r="96" spans="1:20">
      <c r="A96" s="269"/>
      <c r="B96" s="300"/>
      <c r="C96" s="270">
        <v>33930</v>
      </c>
      <c r="D96" s="276" t="s">
        <v>215</v>
      </c>
      <c r="E96" s="271">
        <f>33.379/2+6</f>
        <v>22.689499999999999</v>
      </c>
      <c r="F96" s="271">
        <f>(193.269/2)+5.8</f>
        <v>102.4345</v>
      </c>
      <c r="G96" s="271">
        <f>(314.062/2)+2.9</f>
        <v>159.93100000000001</v>
      </c>
      <c r="H96" s="272"/>
      <c r="I96" s="301">
        <f>177.16314/2</f>
        <v>88.581569999999999</v>
      </c>
      <c r="J96" s="274"/>
      <c r="K96" s="279">
        <f t="shared" si="9"/>
        <v>22.689499999999999</v>
      </c>
      <c r="L96" s="278"/>
      <c r="M96" s="278"/>
      <c r="N96" s="278">
        <f t="shared" si="10"/>
        <v>350.94707</v>
      </c>
      <c r="O96" s="278"/>
      <c r="P96" s="271"/>
      <c r="Q96" s="271"/>
      <c r="R96" s="271"/>
      <c r="S96" s="276">
        <v>4</v>
      </c>
      <c r="T96">
        <v>1</v>
      </c>
    </row>
    <row r="97" spans="1:20">
      <c r="A97" s="269"/>
      <c r="B97" s="300"/>
      <c r="C97" s="270">
        <v>34534</v>
      </c>
      <c r="D97" s="276" t="s">
        <v>214</v>
      </c>
      <c r="E97" s="278">
        <f>29.29056/2</f>
        <v>14.64528</v>
      </c>
      <c r="F97" s="278">
        <f>140.32/2</f>
        <v>70.16</v>
      </c>
      <c r="G97" s="271">
        <f>228.0817408/2</f>
        <v>114.0408704</v>
      </c>
      <c r="H97" s="272"/>
      <c r="I97" s="301">
        <f>133.304/2</f>
        <v>66.652000000000001</v>
      </c>
      <c r="J97" s="274"/>
      <c r="K97" s="279">
        <f t="shared" si="9"/>
        <v>14.64528</v>
      </c>
      <c r="L97" s="278"/>
      <c r="M97" s="278"/>
      <c r="N97" s="278">
        <f t="shared" si="10"/>
        <v>250.85287039999997</v>
      </c>
      <c r="O97" s="278"/>
      <c r="P97" s="271"/>
      <c r="Q97" s="271"/>
      <c r="R97" s="271"/>
      <c r="S97" s="276">
        <v>4</v>
      </c>
      <c r="T97">
        <v>1</v>
      </c>
    </row>
    <row r="98" spans="1:20">
      <c r="A98" s="269"/>
      <c r="B98" s="300"/>
      <c r="C98" s="270">
        <v>34790</v>
      </c>
      <c r="D98" s="276" t="s">
        <v>214</v>
      </c>
      <c r="E98" s="278">
        <f>(63.2*5.4*0.1)/2</f>
        <v>17.064000000000004</v>
      </c>
      <c r="F98" s="278">
        <f>(63*5.2*0.625)/2</f>
        <v>102.375</v>
      </c>
      <c r="G98" s="271">
        <f>(0.6*4*63*2)/2</f>
        <v>151.19999999999999</v>
      </c>
      <c r="H98" s="272"/>
      <c r="I98" s="301">
        <f>(5.2*0.575*63)/2</f>
        <v>94.184999999999988</v>
      </c>
      <c r="J98" s="304"/>
      <c r="K98" s="279">
        <f t="shared" si="9"/>
        <v>17.064000000000004</v>
      </c>
      <c r="L98" s="278"/>
      <c r="M98" s="278"/>
      <c r="N98" s="278">
        <f t="shared" si="10"/>
        <v>347.76</v>
      </c>
      <c r="O98" s="278"/>
      <c r="P98" s="271"/>
      <c r="Q98" s="271"/>
      <c r="R98" s="305">
        <v>6</v>
      </c>
      <c r="S98" s="276">
        <v>6</v>
      </c>
    </row>
    <row r="99" spans="1:20">
      <c r="A99" s="269"/>
      <c r="B99" s="300"/>
      <c r="C99" s="270">
        <v>35438</v>
      </c>
      <c r="D99" s="276" t="s">
        <v>211</v>
      </c>
      <c r="E99" s="278">
        <v>21.297000000000001</v>
      </c>
      <c r="F99" s="278">
        <v>81.866</v>
      </c>
      <c r="G99" s="271">
        <v>81.686999999999998</v>
      </c>
      <c r="H99" s="272"/>
      <c r="I99" s="301">
        <v>71.632900000000006</v>
      </c>
      <c r="J99" s="274"/>
      <c r="K99" s="279">
        <f t="shared" si="9"/>
        <v>21.297000000000001</v>
      </c>
      <c r="L99" s="278"/>
      <c r="M99" s="278"/>
      <c r="N99" s="278">
        <f t="shared" si="10"/>
        <v>235.1859</v>
      </c>
      <c r="O99" s="278"/>
      <c r="P99" s="271"/>
      <c r="Q99" s="271"/>
      <c r="R99" s="271"/>
      <c r="S99" s="276">
        <v>4</v>
      </c>
      <c r="T99">
        <v>1</v>
      </c>
    </row>
    <row r="100" spans="1:20">
      <c r="A100" s="269"/>
      <c r="B100" s="300"/>
      <c r="C100" s="270">
        <v>36478</v>
      </c>
      <c r="D100" s="276" t="s">
        <v>211</v>
      </c>
      <c r="E100" s="278">
        <v>39.60992000000001</v>
      </c>
      <c r="F100" s="278">
        <v>285.65459999999996</v>
      </c>
      <c r="G100" s="271">
        <v>399.46503519999999</v>
      </c>
      <c r="H100" s="272"/>
      <c r="I100" s="301">
        <v>257.08913999999999</v>
      </c>
      <c r="J100" s="274"/>
      <c r="K100" s="279">
        <f t="shared" si="9"/>
        <v>39.60992000000001</v>
      </c>
      <c r="L100" s="278"/>
      <c r="M100" s="278"/>
      <c r="N100" s="278">
        <f t="shared" si="10"/>
        <v>942.20877519999999</v>
      </c>
      <c r="O100" s="278"/>
      <c r="P100" s="271"/>
      <c r="Q100" s="271"/>
      <c r="R100" s="271"/>
      <c r="S100" s="276">
        <v>4</v>
      </c>
      <c r="T100">
        <v>1</v>
      </c>
    </row>
    <row r="101" spans="1:20">
      <c r="A101" s="269"/>
      <c r="B101" s="300"/>
      <c r="C101" s="270">
        <v>36560</v>
      </c>
      <c r="D101" s="276" t="s">
        <v>215</v>
      </c>
      <c r="E101" s="278">
        <v>13.404999999999999</v>
      </c>
      <c r="F101" s="278">
        <v>48.93</v>
      </c>
      <c r="G101" s="271">
        <v>72.484999999999999</v>
      </c>
      <c r="H101" s="272"/>
      <c r="I101" s="301">
        <f>(208.65)/2-30</f>
        <v>74.325000000000003</v>
      </c>
      <c r="J101" s="274"/>
      <c r="K101" s="279">
        <f t="shared" si="9"/>
        <v>13.404999999999999</v>
      </c>
      <c r="L101" s="278"/>
      <c r="M101" s="278"/>
      <c r="N101" s="278">
        <f t="shared" si="10"/>
        <v>195.74</v>
      </c>
      <c r="O101" s="278"/>
      <c r="P101" s="271"/>
      <c r="Q101" s="271"/>
      <c r="R101" s="271"/>
      <c r="S101" s="303">
        <v>5</v>
      </c>
      <c r="T101">
        <v>1</v>
      </c>
    </row>
    <row r="102" spans="1:20">
      <c r="A102" s="269"/>
      <c r="B102" s="300"/>
      <c r="C102" s="270">
        <v>36572</v>
      </c>
      <c r="D102" s="276" t="s">
        <v>214</v>
      </c>
      <c r="E102" s="278">
        <f>34.81164/2</f>
        <v>17.405819999999999</v>
      </c>
      <c r="F102" s="278">
        <f>208.8645/2</f>
        <v>104.43225</v>
      </c>
      <c r="G102" s="271">
        <f>312.5641176/2</f>
        <v>156.28205879999999</v>
      </c>
      <c r="H102" s="272"/>
      <c r="I102" s="301">
        <f>192.15534/2</f>
        <v>96.077669999999998</v>
      </c>
      <c r="J102" s="274"/>
      <c r="K102" s="279">
        <f t="shared" si="9"/>
        <v>17.405819999999999</v>
      </c>
      <c r="L102" s="278"/>
      <c r="M102" s="278"/>
      <c r="N102" s="278">
        <f t="shared" si="10"/>
        <v>356.79197879999998</v>
      </c>
      <c r="O102" s="278"/>
      <c r="P102" s="271"/>
      <c r="Q102" s="271"/>
      <c r="R102" s="271"/>
      <c r="S102" s="276">
        <v>4</v>
      </c>
      <c r="T102">
        <v>1</v>
      </c>
    </row>
    <row r="103" spans="1:20">
      <c r="A103" s="269"/>
      <c r="B103" s="300"/>
      <c r="C103" s="270">
        <v>36786</v>
      </c>
      <c r="D103" s="276" t="s">
        <v>214</v>
      </c>
      <c r="E103" s="278">
        <f>29.45808/2</f>
        <v>14.729039999999999</v>
      </c>
      <c r="F103" s="278">
        <f>154.76263/2</f>
        <v>77.381315000000001</v>
      </c>
      <c r="G103" s="271">
        <f>239.3988256/2</f>
        <v>119.6994128</v>
      </c>
      <c r="H103" s="272"/>
      <c r="I103" s="301">
        <f>147.727965/2</f>
        <v>73.863982500000006</v>
      </c>
      <c r="J103" s="274"/>
      <c r="K103" s="279">
        <f t="shared" si="9"/>
        <v>14.729039999999999</v>
      </c>
      <c r="L103" s="278"/>
      <c r="M103" s="278"/>
      <c r="N103" s="278">
        <f t="shared" si="10"/>
        <v>270.9447103</v>
      </c>
      <c r="O103" s="278"/>
      <c r="P103" s="271"/>
      <c r="Q103" s="271"/>
      <c r="R103" s="271"/>
      <c r="S103" s="276">
        <v>4</v>
      </c>
      <c r="T103">
        <v>1</v>
      </c>
    </row>
    <row r="104" spans="1:20">
      <c r="A104" s="269"/>
      <c r="B104" s="300"/>
      <c r="C104" s="270">
        <v>37060</v>
      </c>
      <c r="D104" s="276" t="s">
        <v>211</v>
      </c>
      <c r="E104" s="278">
        <v>22.158000000000005</v>
      </c>
      <c r="F104" s="278">
        <v>85.213600000000014</v>
      </c>
      <c r="G104" s="271">
        <v>134.56402799999995</v>
      </c>
      <c r="H104" s="272"/>
      <c r="I104" s="301">
        <v>74.561900000000009</v>
      </c>
      <c r="J104" s="274"/>
      <c r="K104" s="279">
        <f t="shared" si="9"/>
        <v>22.158000000000005</v>
      </c>
      <c r="L104" s="278"/>
      <c r="M104" s="278"/>
      <c r="N104" s="278">
        <f t="shared" si="10"/>
        <v>294.33952799999997</v>
      </c>
      <c r="O104" s="278"/>
      <c r="P104" s="271"/>
      <c r="Q104" s="271"/>
      <c r="R104" s="271"/>
      <c r="S104" s="276">
        <v>4</v>
      </c>
      <c r="T104">
        <v>1</v>
      </c>
    </row>
    <row r="105" spans="1:20">
      <c r="A105" s="269"/>
      <c r="B105" s="300"/>
      <c r="C105" s="270">
        <v>37315</v>
      </c>
      <c r="D105" s="276" t="s">
        <v>215</v>
      </c>
      <c r="E105" s="278">
        <f>14.96824/2</f>
        <v>7.4841199999999999</v>
      </c>
      <c r="F105" s="278">
        <f>41.54124/2</f>
        <v>20.770620000000001</v>
      </c>
      <c r="G105" s="271">
        <f>67.2968088/2</f>
        <v>33.648404399999997</v>
      </c>
      <c r="H105" s="272"/>
      <c r="I105" s="301">
        <f>38.07947/2</f>
        <v>19.039735</v>
      </c>
      <c r="J105" s="274"/>
      <c r="K105" s="279">
        <f t="shared" si="9"/>
        <v>7.4841199999999999</v>
      </c>
      <c r="L105" s="278"/>
      <c r="M105" s="278"/>
      <c r="N105" s="278">
        <f t="shared" si="10"/>
        <v>73.458759399999991</v>
      </c>
      <c r="O105" s="278"/>
      <c r="P105" s="271"/>
      <c r="Q105" s="271"/>
      <c r="R105" s="271"/>
      <c r="S105" s="276">
        <v>4</v>
      </c>
      <c r="T105">
        <v>1</v>
      </c>
    </row>
    <row r="106" spans="1:20">
      <c r="A106" s="269"/>
      <c r="B106" s="300"/>
      <c r="C106" s="270">
        <v>38128</v>
      </c>
      <c r="D106" s="276" t="s">
        <v>211</v>
      </c>
      <c r="E106" s="278">
        <v>20.738685000000004</v>
      </c>
      <c r="F106" s="278">
        <v>78.454499999999996</v>
      </c>
      <c r="G106" s="271">
        <v>121.0082208</v>
      </c>
      <c r="H106" s="272"/>
      <c r="I106" s="301">
        <v>68.647687499999989</v>
      </c>
      <c r="J106" s="274"/>
      <c r="K106" s="279">
        <f t="shared" si="9"/>
        <v>20.738685000000004</v>
      </c>
      <c r="L106" s="278"/>
      <c r="M106" s="278"/>
      <c r="N106" s="278">
        <f t="shared" si="10"/>
        <v>268.11040830000002</v>
      </c>
      <c r="O106" s="278"/>
      <c r="P106" s="271"/>
      <c r="Q106" s="271"/>
      <c r="R106" s="271"/>
      <c r="S106" s="276">
        <v>4</v>
      </c>
      <c r="T106">
        <v>1</v>
      </c>
    </row>
    <row r="107" spans="1:20">
      <c r="A107" s="269"/>
      <c r="B107" s="300"/>
      <c r="C107" s="300">
        <v>38361</v>
      </c>
      <c r="D107" s="302" t="s">
        <v>214</v>
      </c>
      <c r="E107" s="271">
        <f>13.5/2+4</f>
        <v>10.75</v>
      </c>
      <c r="F107" s="271">
        <f>(44.51/2)+3.8</f>
        <v>26.055</v>
      </c>
      <c r="G107" s="271">
        <f>(65.175/2)+1.9</f>
        <v>34.487499999999997</v>
      </c>
      <c r="H107" s="272"/>
      <c r="I107" s="273">
        <f>38.151/2</f>
        <v>19.075500000000002</v>
      </c>
      <c r="J107" s="274"/>
      <c r="K107" s="279">
        <f t="shared" si="9"/>
        <v>10.75</v>
      </c>
      <c r="L107" s="278"/>
      <c r="M107" s="278"/>
      <c r="N107" s="278">
        <f t="shared" si="10"/>
        <v>79.617999999999995</v>
      </c>
      <c r="O107" s="278"/>
      <c r="P107" s="271"/>
      <c r="Q107" s="271"/>
      <c r="R107" s="271"/>
      <c r="S107" s="276">
        <v>3</v>
      </c>
      <c r="T107">
        <v>1</v>
      </c>
    </row>
    <row r="108" spans="1:20">
      <c r="A108" s="269"/>
      <c r="B108" s="300"/>
      <c r="C108" s="300">
        <v>38361</v>
      </c>
      <c r="D108" s="302" t="s">
        <v>215</v>
      </c>
      <c r="E108" s="271">
        <f>13.5/2+4</f>
        <v>10.75</v>
      </c>
      <c r="F108" s="271">
        <f>(44.51/2)+3.8</f>
        <v>26.055</v>
      </c>
      <c r="G108" s="271">
        <f>(65.175/2)+1.9</f>
        <v>34.487499999999997</v>
      </c>
      <c r="H108" s="272"/>
      <c r="I108" s="273">
        <f>38.151/2</f>
        <v>19.075500000000002</v>
      </c>
      <c r="J108" s="274"/>
      <c r="K108" s="279">
        <f t="shared" si="9"/>
        <v>10.75</v>
      </c>
      <c r="L108" s="278"/>
      <c r="M108" s="278"/>
      <c r="N108" s="278">
        <f t="shared" si="10"/>
        <v>79.617999999999995</v>
      </c>
      <c r="O108" s="278"/>
      <c r="P108" s="271"/>
      <c r="Q108" s="271"/>
      <c r="R108" s="271"/>
      <c r="S108" s="276">
        <v>3</v>
      </c>
      <c r="T108">
        <v>1</v>
      </c>
    </row>
    <row r="109" spans="1:20">
      <c r="A109" s="269"/>
      <c r="B109" s="300"/>
      <c r="C109" s="270">
        <v>39619</v>
      </c>
      <c r="D109" s="276" t="s">
        <v>211</v>
      </c>
      <c r="E109" s="278">
        <v>22.404</v>
      </c>
      <c r="F109" s="278">
        <v>61.625999999999998</v>
      </c>
      <c r="G109" s="271">
        <v>116.312</v>
      </c>
      <c r="H109" s="272"/>
      <c r="I109" s="301">
        <f>131.447-30</f>
        <v>101.447</v>
      </c>
      <c r="J109" s="274"/>
      <c r="K109" s="279">
        <f t="shared" si="9"/>
        <v>22.404</v>
      </c>
      <c r="L109" s="278"/>
      <c r="M109" s="278"/>
      <c r="N109" s="278">
        <f t="shared" si="10"/>
        <v>279.38499999999999</v>
      </c>
      <c r="O109" s="278"/>
      <c r="P109" s="271"/>
      <c r="Q109" s="271"/>
      <c r="R109" s="271"/>
      <c r="S109" s="303">
        <v>5</v>
      </c>
      <c r="T109">
        <v>1</v>
      </c>
    </row>
    <row r="110" spans="1:20">
      <c r="A110" s="269"/>
      <c r="B110" s="300"/>
      <c r="C110" s="270">
        <v>40130</v>
      </c>
      <c r="D110" s="276" t="s">
        <v>215</v>
      </c>
      <c r="E110" s="278">
        <v>13.554</v>
      </c>
      <c r="F110" s="278">
        <v>36.371000000000002</v>
      </c>
      <c r="G110" s="271">
        <v>77.849999999999994</v>
      </c>
      <c r="H110" s="272"/>
      <c r="I110" s="301">
        <f>(118.118)/2</f>
        <v>59.058999999999997</v>
      </c>
      <c r="J110" s="274"/>
      <c r="K110" s="279">
        <f t="shared" si="9"/>
        <v>13.554</v>
      </c>
      <c r="L110" s="278"/>
      <c r="M110" s="278"/>
      <c r="N110" s="278">
        <f t="shared" si="10"/>
        <v>173.28</v>
      </c>
      <c r="O110" s="278"/>
      <c r="P110" s="271"/>
      <c r="Q110" s="271"/>
      <c r="R110" s="271"/>
      <c r="S110" s="303">
        <v>5</v>
      </c>
      <c r="T110">
        <v>1</v>
      </c>
    </row>
    <row r="111" spans="1:20">
      <c r="A111" s="269"/>
      <c r="B111" s="300"/>
      <c r="C111" s="300">
        <v>40250</v>
      </c>
      <c r="D111" s="302" t="s">
        <v>214</v>
      </c>
      <c r="E111" s="278">
        <f>(53.336*2.9*0.1)/2+2.7</f>
        <v>10.433720000000001</v>
      </c>
      <c r="F111" s="278">
        <f>(53.336*2.7*0.35)/2</f>
        <v>25.201260000000001</v>
      </c>
      <c r="G111" s="271">
        <f>(0.35*53.336*2*2)/2</f>
        <v>37.335199999999993</v>
      </c>
      <c r="H111" s="272"/>
      <c r="I111" s="301">
        <f>(53.336*2.7*0.3)/2</f>
        <v>21.60108</v>
      </c>
      <c r="J111" s="274"/>
      <c r="K111" s="279">
        <f t="shared" si="9"/>
        <v>10.433720000000001</v>
      </c>
      <c r="L111" s="278"/>
      <c r="M111" s="278"/>
      <c r="N111" s="278">
        <f t="shared" si="10"/>
        <v>84.137539999999987</v>
      </c>
      <c r="O111" s="278"/>
      <c r="P111" s="271"/>
      <c r="Q111" s="271"/>
      <c r="R111" s="271"/>
      <c r="S111" s="276">
        <v>3</v>
      </c>
      <c r="T111">
        <v>1</v>
      </c>
    </row>
    <row r="112" spans="1:20">
      <c r="A112" s="269"/>
      <c r="B112" s="300"/>
      <c r="C112" s="270">
        <v>40250</v>
      </c>
      <c r="D112" s="276" t="s">
        <v>215</v>
      </c>
      <c r="E112" s="278">
        <f>(53.336*2.9*0.1)/2+2.7</f>
        <v>10.433720000000001</v>
      </c>
      <c r="F112" s="278">
        <f>(53.336*2.7*0.35)/2</f>
        <v>25.201260000000001</v>
      </c>
      <c r="G112" s="271">
        <f>(0.35*53.336*2*2)/2</f>
        <v>37.335199999999993</v>
      </c>
      <c r="H112" s="272"/>
      <c r="I112" s="301">
        <f>(53.336*2.7*0.3)/2</f>
        <v>21.60108</v>
      </c>
      <c r="J112" s="274"/>
      <c r="K112" s="279">
        <f t="shared" si="9"/>
        <v>10.433720000000001</v>
      </c>
      <c r="L112" s="278"/>
      <c r="M112" s="278"/>
      <c r="N112" s="278">
        <f t="shared" si="10"/>
        <v>84.137539999999987</v>
      </c>
      <c r="O112" s="278"/>
      <c r="P112" s="271"/>
      <c r="Q112" s="271"/>
      <c r="R112" s="271"/>
      <c r="S112" s="276">
        <v>4</v>
      </c>
      <c r="T112">
        <v>1</v>
      </c>
    </row>
    <row r="113" spans="1:20">
      <c r="A113" s="269"/>
      <c r="B113" s="300"/>
      <c r="C113" s="270">
        <v>41200</v>
      </c>
      <c r="D113" s="276" t="s">
        <v>211</v>
      </c>
      <c r="E113" s="278">
        <v>13.06676</v>
      </c>
      <c r="F113" s="278">
        <v>36.244259999999997</v>
      </c>
      <c r="G113" s="271">
        <v>58.715701199999998</v>
      </c>
      <c r="H113" s="272"/>
      <c r="I113" s="301">
        <v>33.223905000000002</v>
      </c>
      <c r="J113" s="274"/>
      <c r="K113" s="279">
        <f t="shared" si="9"/>
        <v>13.06676</v>
      </c>
      <c r="L113" s="278"/>
      <c r="M113" s="278"/>
      <c r="N113" s="278">
        <f t="shared" si="10"/>
        <v>128.18386620000001</v>
      </c>
      <c r="O113" s="278"/>
      <c r="P113" s="271"/>
      <c r="Q113" s="271"/>
      <c r="R113" s="271"/>
      <c r="S113" s="276">
        <v>4</v>
      </c>
      <c r="T113">
        <v>1</v>
      </c>
    </row>
    <row r="114" spans="1:20">
      <c r="A114" s="269"/>
      <c r="B114" s="300"/>
      <c r="C114" s="270">
        <v>41430</v>
      </c>
      <c r="D114" s="276" t="s">
        <v>211</v>
      </c>
      <c r="E114" s="278">
        <v>9.4387700000000034</v>
      </c>
      <c r="F114" s="278">
        <v>19.524172500000002</v>
      </c>
      <c r="G114" s="271">
        <v>34.128784800000005</v>
      </c>
      <c r="H114" s="272"/>
      <c r="I114" s="301">
        <v>17.35482</v>
      </c>
      <c r="J114" s="274"/>
      <c r="K114" s="279">
        <f t="shared" si="9"/>
        <v>9.4387700000000034</v>
      </c>
      <c r="L114" s="278"/>
      <c r="M114" s="278"/>
      <c r="N114" s="278">
        <f t="shared" si="10"/>
        <v>71.007777300000015</v>
      </c>
      <c r="O114" s="278"/>
      <c r="P114" s="271"/>
      <c r="Q114" s="271"/>
      <c r="R114" s="271"/>
      <c r="S114" s="276">
        <v>4</v>
      </c>
      <c r="T114">
        <v>1</v>
      </c>
    </row>
    <row r="115" spans="1:20">
      <c r="A115" s="269"/>
      <c r="B115" s="300"/>
      <c r="C115" s="270">
        <v>43496</v>
      </c>
      <c r="D115" s="276" t="s">
        <v>215</v>
      </c>
      <c r="E115" s="278">
        <v>8.9179999999999993</v>
      </c>
      <c r="F115" s="278">
        <v>21.774000000000001</v>
      </c>
      <c r="G115" s="271">
        <v>46.067999999999998</v>
      </c>
      <c r="H115" s="272"/>
      <c r="I115" s="301">
        <f>59.185/2</f>
        <v>29.592500000000001</v>
      </c>
      <c r="J115" s="274"/>
      <c r="K115" s="279">
        <f t="shared" si="9"/>
        <v>8.9179999999999993</v>
      </c>
      <c r="L115" s="278"/>
      <c r="M115" s="278"/>
      <c r="N115" s="278">
        <f t="shared" si="10"/>
        <v>97.4345</v>
      </c>
      <c r="O115" s="278"/>
      <c r="P115" s="271"/>
      <c r="Q115" s="271"/>
      <c r="R115" s="271"/>
      <c r="S115" s="303">
        <v>5</v>
      </c>
      <c r="T115">
        <v>1</v>
      </c>
    </row>
    <row r="116" spans="1:20">
      <c r="A116" s="269"/>
      <c r="B116" s="300"/>
      <c r="C116" s="270">
        <v>44148</v>
      </c>
      <c r="D116" s="276" t="s">
        <v>211</v>
      </c>
      <c r="E116" s="278">
        <v>25.522530000000003</v>
      </c>
      <c r="F116" s="278">
        <v>104.38769249999999</v>
      </c>
      <c r="G116" s="271">
        <v>145.42270959999999</v>
      </c>
      <c r="H116" s="272"/>
      <c r="I116" s="301">
        <v>98.247239999999991</v>
      </c>
      <c r="J116" s="274"/>
      <c r="K116" s="279">
        <f t="shared" si="9"/>
        <v>25.522530000000003</v>
      </c>
      <c r="L116" s="278"/>
      <c r="M116" s="278"/>
      <c r="N116" s="278">
        <f t="shared" si="10"/>
        <v>348.05764209999995</v>
      </c>
      <c r="O116" s="278"/>
      <c r="P116" s="271"/>
      <c r="Q116" s="271"/>
      <c r="R116" s="271"/>
      <c r="S116" s="276">
        <v>4</v>
      </c>
      <c r="T116">
        <v>1</v>
      </c>
    </row>
    <row r="117" spans="1:20">
      <c r="A117" s="269"/>
      <c r="B117" s="300"/>
      <c r="C117" s="270">
        <v>45200</v>
      </c>
      <c r="D117" s="276" t="s">
        <v>215</v>
      </c>
      <c r="E117" s="278">
        <v>9.9719999999999995</v>
      </c>
      <c r="F117" s="278">
        <v>23.31</v>
      </c>
      <c r="G117" s="271">
        <v>37.661000000000001</v>
      </c>
      <c r="H117" s="272"/>
      <c r="I117" s="301">
        <f>76.082/2</f>
        <v>38.040999999999997</v>
      </c>
      <c r="J117" s="274"/>
      <c r="K117" s="279">
        <f t="shared" si="9"/>
        <v>9.9719999999999995</v>
      </c>
      <c r="L117" s="278"/>
      <c r="M117" s="278"/>
      <c r="N117" s="278">
        <f t="shared" si="10"/>
        <v>99.012</v>
      </c>
      <c r="O117" s="278"/>
      <c r="P117" s="271"/>
      <c r="Q117" s="271"/>
      <c r="R117" s="271"/>
      <c r="S117" s="303">
        <v>5</v>
      </c>
      <c r="T117">
        <v>1</v>
      </c>
    </row>
    <row r="118" spans="1:20">
      <c r="A118" s="224"/>
      <c r="B118" s="234"/>
      <c r="C118" s="225"/>
      <c r="D118" s="231"/>
      <c r="E118" s="232"/>
      <c r="F118" s="232"/>
      <c r="G118" s="226"/>
      <c r="H118" s="227"/>
      <c r="I118" s="235"/>
      <c r="J118" s="229"/>
      <c r="K118" s="233">
        <f>SUM(K75:K117)</f>
        <v>699.646615</v>
      </c>
      <c r="L118" s="232"/>
      <c r="M118" s="232"/>
      <c r="N118" s="306">
        <f>SUM(N75:N117)</f>
        <v>9790.1822190000021</v>
      </c>
      <c r="O118" s="232"/>
      <c r="P118" s="226"/>
      <c r="Q118" s="226"/>
      <c r="R118" s="226"/>
      <c r="S118" s="231"/>
      <c r="T118">
        <v>1</v>
      </c>
    </row>
    <row r="119" spans="1:20">
      <c r="A119" s="224">
        <f>+A73+1</f>
        <v>5</v>
      </c>
      <c r="B119" s="224" t="s">
        <v>219</v>
      </c>
      <c r="C119" s="225"/>
      <c r="D119" s="226"/>
      <c r="E119" s="226"/>
      <c r="F119" s="226"/>
      <c r="G119" s="226"/>
      <c r="H119" s="227"/>
      <c r="I119" s="228"/>
      <c r="J119" s="229"/>
      <c r="K119" s="230"/>
      <c r="L119" s="226"/>
      <c r="M119" s="226"/>
      <c r="N119" s="226"/>
      <c r="O119" s="226"/>
      <c r="P119" s="226"/>
      <c r="Q119" s="226"/>
      <c r="R119" s="226"/>
      <c r="S119" s="231"/>
      <c r="T119">
        <v>1</v>
      </c>
    </row>
    <row r="120" spans="1:20">
      <c r="A120" s="224"/>
      <c r="B120" s="236" t="s">
        <v>220</v>
      </c>
      <c r="C120" s="225">
        <v>29730</v>
      </c>
      <c r="D120" s="231" t="s">
        <v>211</v>
      </c>
      <c r="E120" s="232">
        <v>15.56</v>
      </c>
      <c r="F120" s="232"/>
      <c r="G120" s="226">
        <v>32</v>
      </c>
      <c r="H120" s="227"/>
      <c r="I120" s="228"/>
      <c r="J120" s="229"/>
      <c r="K120" s="233">
        <f t="shared" ref="K120" si="11">E120</f>
        <v>15.56</v>
      </c>
      <c r="L120" s="232">
        <f t="shared" ref="L120" si="12">G120</f>
        <v>32</v>
      </c>
      <c r="M120" s="232"/>
      <c r="N120" s="232"/>
      <c r="O120" s="232"/>
      <c r="P120" s="226"/>
      <c r="Q120" s="226"/>
      <c r="R120" s="226"/>
      <c r="S120" s="231">
        <v>4</v>
      </c>
      <c r="T120">
        <v>1</v>
      </c>
    </row>
    <row r="121" spans="1:20">
      <c r="A121" s="224"/>
      <c r="B121" s="236" t="s">
        <v>221</v>
      </c>
      <c r="C121" s="237">
        <v>40887</v>
      </c>
      <c r="D121" s="231" t="s">
        <v>211</v>
      </c>
      <c r="E121" s="232">
        <v>9.4949999999999992</v>
      </c>
      <c r="F121" s="232"/>
      <c r="G121" s="226">
        <v>44.720999999999997</v>
      </c>
      <c r="H121" s="227"/>
      <c r="I121" s="228"/>
      <c r="J121" s="229"/>
      <c r="K121" s="233">
        <f>E121</f>
        <v>9.4949999999999992</v>
      </c>
      <c r="L121" s="232">
        <f>G121</f>
        <v>44.720999999999997</v>
      </c>
      <c r="M121" s="232"/>
      <c r="N121" s="232"/>
      <c r="O121" s="232"/>
      <c r="P121" s="226"/>
      <c r="Q121" s="226"/>
      <c r="R121" s="226"/>
      <c r="S121" s="231">
        <v>3</v>
      </c>
      <c r="T121">
        <v>1</v>
      </c>
    </row>
    <row r="122" spans="1:20">
      <c r="A122" s="238"/>
      <c r="B122" s="236" t="s">
        <v>220</v>
      </c>
      <c r="C122" s="239">
        <v>41350</v>
      </c>
      <c r="D122" s="231" t="s">
        <v>211</v>
      </c>
      <c r="E122" s="240">
        <v>10.1</v>
      </c>
      <c r="F122" s="240"/>
      <c r="G122" s="241">
        <v>26.274999999999999</v>
      </c>
      <c r="H122" s="242"/>
      <c r="I122" s="243"/>
      <c r="J122" s="244"/>
      <c r="K122" s="233">
        <f t="shared" ref="K122:K123" si="13">E122</f>
        <v>10.1</v>
      </c>
      <c r="L122" s="232">
        <f t="shared" ref="L122:L123" si="14">G122</f>
        <v>26.274999999999999</v>
      </c>
      <c r="M122" s="240"/>
      <c r="N122" s="240"/>
      <c r="O122" s="240"/>
      <c r="P122" s="241"/>
      <c r="Q122" s="241"/>
      <c r="R122" s="241"/>
      <c r="S122" s="245">
        <v>4</v>
      </c>
      <c r="T122">
        <v>1</v>
      </c>
    </row>
    <row r="123" spans="1:20">
      <c r="A123" s="238"/>
      <c r="B123" s="236" t="s">
        <v>220</v>
      </c>
      <c r="C123" s="239">
        <v>45430</v>
      </c>
      <c r="D123" s="231" t="s">
        <v>211</v>
      </c>
      <c r="E123" s="240">
        <v>9.65</v>
      </c>
      <c r="F123" s="240"/>
      <c r="G123" s="241">
        <v>26.75</v>
      </c>
      <c r="H123" s="242"/>
      <c r="I123" s="243"/>
      <c r="J123" s="244"/>
      <c r="K123" s="233">
        <f t="shared" si="13"/>
        <v>9.65</v>
      </c>
      <c r="L123" s="232">
        <f t="shared" si="14"/>
        <v>26.75</v>
      </c>
      <c r="M123" s="240"/>
      <c r="N123" s="240"/>
      <c r="O123" s="240"/>
      <c r="P123" s="241"/>
      <c r="Q123" s="241"/>
      <c r="R123" s="241"/>
      <c r="S123" s="245">
        <v>4</v>
      </c>
      <c r="T123">
        <v>1</v>
      </c>
    </row>
    <row r="124" spans="1:20">
      <c r="A124" s="238"/>
      <c r="B124" s="246"/>
      <c r="C124" s="239"/>
      <c r="D124" s="245"/>
      <c r="E124" s="240"/>
      <c r="F124" s="240"/>
      <c r="G124" s="241"/>
      <c r="H124" s="242"/>
      <c r="I124" s="243"/>
      <c r="J124" s="244"/>
      <c r="K124" s="247"/>
      <c r="L124" s="240"/>
      <c r="M124" s="240"/>
      <c r="N124" s="240"/>
      <c r="O124" s="240"/>
      <c r="P124" s="241"/>
      <c r="Q124" s="241"/>
      <c r="R124" s="241"/>
      <c r="S124" s="245"/>
      <c r="T124">
        <v>1</v>
      </c>
    </row>
    <row r="125" spans="1:20">
      <c r="A125" s="224">
        <f>+A119+1</f>
        <v>6</v>
      </c>
      <c r="B125" s="224" t="s">
        <v>222</v>
      </c>
      <c r="C125" s="225"/>
      <c r="D125" s="226"/>
      <c r="E125" s="226"/>
      <c r="F125" s="226"/>
      <c r="G125" s="226"/>
      <c r="H125" s="227"/>
      <c r="I125" s="228"/>
      <c r="J125" s="229"/>
      <c r="K125" s="230"/>
      <c r="L125" s="226"/>
      <c r="M125" s="226"/>
      <c r="N125" s="226"/>
      <c r="O125" s="226"/>
      <c r="P125" s="226"/>
      <c r="Q125" s="226"/>
      <c r="R125" s="226"/>
      <c r="S125" s="231"/>
      <c r="T125">
        <v>1</v>
      </c>
    </row>
    <row r="126" spans="1:20">
      <c r="A126" s="238"/>
      <c r="B126" s="248" t="s">
        <v>223</v>
      </c>
      <c r="C126" s="239"/>
      <c r="D126" s="245">
        <v>340</v>
      </c>
      <c r="E126" s="240">
        <f>1.7*0.1</f>
        <v>0.17</v>
      </c>
      <c r="F126" s="240">
        <f>1.5*0.15</f>
        <v>0.22499999999999998</v>
      </c>
      <c r="G126" s="241">
        <f>(0.15*1.2)+(0.15*0.9)</f>
        <v>0.315</v>
      </c>
      <c r="H126" s="242"/>
      <c r="I126" s="243"/>
      <c r="J126" s="244"/>
      <c r="K126" s="247">
        <f>D126*E126</f>
        <v>57.800000000000004</v>
      </c>
      <c r="L126" s="240"/>
      <c r="M126" s="240"/>
      <c r="N126" s="240">
        <f>(D126*F126)+(D126*G126)</f>
        <v>183.59999999999997</v>
      </c>
      <c r="O126" s="240"/>
      <c r="P126" s="241"/>
      <c r="Q126" s="241"/>
      <c r="R126" s="241"/>
      <c r="S126" s="245">
        <v>5</v>
      </c>
      <c r="T126">
        <v>1</v>
      </c>
    </row>
    <row r="127" spans="1:20">
      <c r="A127" s="238"/>
      <c r="B127" s="248" t="s">
        <v>224</v>
      </c>
      <c r="C127" s="239"/>
      <c r="D127" s="245">
        <v>2780</v>
      </c>
      <c r="E127" s="240"/>
      <c r="F127" s="240"/>
      <c r="G127" s="241">
        <v>0.1123</v>
      </c>
      <c r="H127" s="242"/>
      <c r="I127" s="243"/>
      <c r="J127" s="244"/>
      <c r="K127" s="247"/>
      <c r="L127" s="240">
        <f>+D127*G127</f>
        <v>312.19400000000002</v>
      </c>
      <c r="M127" s="240"/>
      <c r="N127" s="240"/>
      <c r="O127" s="240"/>
      <c r="P127" s="241"/>
      <c r="Q127" s="241"/>
      <c r="R127" s="241"/>
      <c r="S127" s="245">
        <v>5</v>
      </c>
      <c r="T127">
        <v>1</v>
      </c>
    </row>
    <row r="128" spans="1:20">
      <c r="A128" s="238"/>
      <c r="B128" s="246"/>
      <c r="C128" s="239"/>
      <c r="D128" s="245"/>
      <c r="E128" s="240"/>
      <c r="F128" s="240"/>
      <c r="G128" s="241"/>
      <c r="H128" s="242"/>
      <c r="I128" s="243"/>
      <c r="J128" s="244"/>
      <c r="K128" s="247"/>
      <c r="L128" s="240"/>
      <c r="M128" s="240"/>
      <c r="N128" s="240"/>
      <c r="O128" s="240"/>
      <c r="P128" s="241"/>
      <c r="Q128" s="241"/>
      <c r="R128" s="241"/>
      <c r="S128" s="245"/>
      <c r="T128">
        <v>1</v>
      </c>
    </row>
    <row r="129" spans="1:22">
      <c r="A129" s="224">
        <f>+A125+1</f>
        <v>7</v>
      </c>
      <c r="B129" s="224" t="s">
        <v>225</v>
      </c>
      <c r="C129" s="225"/>
      <c r="D129" s="226"/>
      <c r="E129" s="226"/>
      <c r="F129" s="226"/>
      <c r="G129" s="226"/>
      <c r="H129" s="227"/>
      <c r="I129" s="228"/>
      <c r="J129" s="229"/>
      <c r="K129" s="230"/>
      <c r="L129" s="226"/>
      <c r="M129" s="226"/>
      <c r="N129" s="226"/>
      <c r="O129" s="226"/>
      <c r="P129" s="226"/>
      <c r="Q129" s="226"/>
      <c r="R129" s="226"/>
      <c r="S129" s="231"/>
      <c r="T129">
        <v>1</v>
      </c>
    </row>
    <row r="130" spans="1:22">
      <c r="A130" s="238"/>
      <c r="B130" s="246" t="s">
        <v>226</v>
      </c>
      <c r="C130" s="245">
        <v>900</v>
      </c>
      <c r="D130" s="245" t="s">
        <v>215</v>
      </c>
      <c r="E130" s="240">
        <v>6.2E-2</v>
      </c>
      <c r="F130" s="240"/>
      <c r="G130" s="240"/>
      <c r="H130" s="242"/>
      <c r="I130" s="243"/>
      <c r="J130" s="244"/>
      <c r="K130" s="247">
        <f>PRODUCT(C130:I130)</f>
        <v>55.8</v>
      </c>
      <c r="L130" s="240"/>
      <c r="M130" s="240"/>
      <c r="N130" s="240"/>
      <c r="O130" s="240"/>
      <c r="P130" s="241"/>
      <c r="Q130" s="241"/>
      <c r="R130" s="241"/>
      <c r="S130" s="245">
        <v>5</v>
      </c>
      <c r="T130">
        <v>1</v>
      </c>
    </row>
    <row r="131" spans="1:22">
      <c r="A131" s="238"/>
      <c r="B131" s="246" t="s">
        <v>227</v>
      </c>
      <c r="C131" s="245">
        <v>900</v>
      </c>
      <c r="D131" s="245" t="s">
        <v>215</v>
      </c>
      <c r="E131" s="240"/>
      <c r="F131" s="240">
        <v>1.0999999999999999E-2</v>
      </c>
      <c r="G131" s="240"/>
      <c r="H131" s="242"/>
      <c r="I131" s="243"/>
      <c r="J131" s="244"/>
      <c r="K131" s="247"/>
      <c r="L131" s="240"/>
      <c r="M131" s="240"/>
      <c r="N131" s="240">
        <f>PRODUCT(C131:I131)</f>
        <v>9.8999999999999986</v>
      </c>
      <c r="O131" s="240"/>
      <c r="P131" s="241"/>
      <c r="Q131" s="241"/>
      <c r="R131" s="241"/>
      <c r="S131" s="245">
        <v>5</v>
      </c>
      <c r="T131">
        <v>1</v>
      </c>
    </row>
    <row r="132" spans="1:22">
      <c r="A132" s="238"/>
      <c r="B132" s="246" t="s">
        <v>228</v>
      </c>
      <c r="C132" s="245">
        <v>900</v>
      </c>
      <c r="D132" s="245" t="s">
        <v>215</v>
      </c>
      <c r="E132" s="240"/>
      <c r="F132" s="240"/>
      <c r="G132" s="240">
        <v>0.08</v>
      </c>
      <c r="H132" s="242"/>
      <c r="I132" s="243"/>
      <c r="J132" s="244"/>
      <c r="K132" s="247"/>
      <c r="L132" s="240"/>
      <c r="M132" s="240"/>
      <c r="N132" s="240">
        <f>PRODUCT(C132:I132)</f>
        <v>72</v>
      </c>
      <c r="O132" s="240"/>
      <c r="P132" s="241"/>
      <c r="Q132" s="241"/>
      <c r="R132" s="241"/>
      <c r="S132" s="245">
        <v>5</v>
      </c>
      <c r="T132">
        <v>1</v>
      </c>
    </row>
    <row r="133" spans="1:22">
      <c r="A133" s="238"/>
      <c r="B133" s="246" t="s">
        <v>229</v>
      </c>
      <c r="C133" s="245">
        <v>900</v>
      </c>
      <c r="D133" s="245" t="s">
        <v>215</v>
      </c>
      <c r="E133" s="240"/>
      <c r="F133" s="240"/>
      <c r="G133" s="240">
        <v>0.01</v>
      </c>
      <c r="H133" s="242"/>
      <c r="I133" s="243"/>
      <c r="J133" s="244"/>
      <c r="K133" s="247"/>
      <c r="L133" s="240"/>
      <c r="M133" s="240">
        <f>PRODUCT(C133:I133)</f>
        <v>9</v>
      </c>
      <c r="N133" s="240"/>
      <c r="O133" s="240"/>
      <c r="P133" s="241"/>
      <c r="Q133" s="241"/>
      <c r="R133" s="241"/>
      <c r="S133" s="245">
        <v>5</v>
      </c>
      <c r="T133">
        <v>1</v>
      </c>
    </row>
    <row r="134" spans="1:22">
      <c r="A134" s="238"/>
      <c r="B134" s="246"/>
      <c r="C134" s="245"/>
      <c r="D134" s="245"/>
      <c r="E134" s="240"/>
      <c r="F134" s="240"/>
      <c r="G134" s="240"/>
      <c r="H134" s="242"/>
      <c r="I134" s="243"/>
      <c r="J134" s="244"/>
      <c r="K134" s="247"/>
      <c r="L134" s="240"/>
      <c r="M134" s="240"/>
      <c r="N134" s="240"/>
      <c r="O134" s="240"/>
      <c r="P134" s="241"/>
      <c r="Q134" s="241"/>
      <c r="R134" s="241"/>
      <c r="S134" s="245"/>
      <c r="T134">
        <v>1</v>
      </c>
    </row>
    <row r="135" spans="1:22">
      <c r="A135" s="224">
        <f>+A129+1</f>
        <v>8</v>
      </c>
      <c r="B135" s="224" t="s">
        <v>230</v>
      </c>
      <c r="C135" s="225"/>
      <c r="D135" s="226"/>
      <c r="E135" s="226"/>
      <c r="F135" s="226"/>
      <c r="G135" s="226"/>
      <c r="H135" s="227"/>
      <c r="I135" s="228"/>
      <c r="J135" s="229"/>
      <c r="K135" s="230"/>
      <c r="L135" s="226"/>
      <c r="M135" s="226"/>
      <c r="N135" s="226"/>
      <c r="O135" s="226"/>
      <c r="P135" s="226"/>
      <c r="Q135" s="226"/>
      <c r="R135" s="226"/>
      <c r="S135" s="231"/>
      <c r="T135">
        <v>1</v>
      </c>
    </row>
    <row r="136" spans="1:22">
      <c r="A136" s="238"/>
      <c r="B136" s="246"/>
      <c r="C136" s="245" t="s">
        <v>231</v>
      </c>
      <c r="D136" s="245">
        <v>638.28000000000009</v>
      </c>
      <c r="E136" s="240"/>
      <c r="F136" s="240"/>
      <c r="G136" s="240"/>
      <c r="H136" s="242"/>
      <c r="I136" s="243"/>
      <c r="J136" s="244"/>
      <c r="K136" s="247"/>
      <c r="L136" s="240"/>
      <c r="M136" s="240"/>
      <c r="N136" s="240"/>
      <c r="O136" s="240">
        <f>D136*0.145</f>
        <v>92.550600000000003</v>
      </c>
      <c r="P136" s="241"/>
      <c r="Q136" s="241"/>
      <c r="R136" s="241"/>
      <c r="S136" s="245">
        <v>5</v>
      </c>
      <c r="T136">
        <v>1</v>
      </c>
      <c r="U136">
        <v>1739.88</v>
      </c>
      <c r="V136">
        <f>+U136-D136</f>
        <v>1101.5999999999999</v>
      </c>
    </row>
    <row r="137" spans="1:22">
      <c r="A137" s="238"/>
      <c r="B137" s="246"/>
      <c r="C137" s="245" t="s">
        <v>232</v>
      </c>
      <c r="D137" s="245">
        <v>30.123999999999999</v>
      </c>
      <c r="E137" s="240"/>
      <c r="F137" s="240"/>
      <c r="G137" s="240"/>
      <c r="H137" s="242"/>
      <c r="I137" s="243"/>
      <c r="J137" s="244"/>
      <c r="K137" s="247"/>
      <c r="L137" s="240"/>
      <c r="M137" s="240"/>
      <c r="N137" s="240"/>
      <c r="O137" s="240">
        <f t="shared" ref="O137:O150" si="15">D137*0.145</f>
        <v>4.3679799999999993</v>
      </c>
      <c r="P137" s="241"/>
      <c r="Q137" s="241"/>
      <c r="R137" s="241"/>
      <c r="S137" s="245">
        <v>5</v>
      </c>
      <c r="T137">
        <v>1</v>
      </c>
      <c r="U137">
        <v>207.32400000000001</v>
      </c>
      <c r="V137">
        <f>+U137-D137</f>
        <v>177.20000000000002</v>
      </c>
    </row>
    <row r="138" spans="1:22">
      <c r="A138" s="238"/>
      <c r="B138" s="246"/>
      <c r="C138" s="245" t="s">
        <v>233</v>
      </c>
      <c r="D138" s="245">
        <v>4.4039999999999999</v>
      </c>
      <c r="E138" s="240"/>
      <c r="F138" s="240"/>
      <c r="G138" s="240"/>
      <c r="H138" s="242"/>
      <c r="I138" s="243"/>
      <c r="J138" s="244"/>
      <c r="K138" s="247"/>
      <c r="L138" s="240"/>
      <c r="M138" s="240"/>
      <c r="N138" s="240"/>
      <c r="O138" s="240">
        <f t="shared" si="15"/>
        <v>0.63857999999999993</v>
      </c>
      <c r="P138" s="241"/>
      <c r="Q138" s="241"/>
      <c r="R138" s="241"/>
      <c r="S138" s="245">
        <v>5</v>
      </c>
      <c r="T138">
        <v>1</v>
      </c>
    </row>
    <row r="139" spans="1:22">
      <c r="A139" s="238"/>
      <c r="B139" s="246"/>
      <c r="C139" s="245" t="s">
        <v>234</v>
      </c>
      <c r="D139" s="245">
        <v>25.584000000000003</v>
      </c>
      <c r="E139" s="240"/>
      <c r="F139" s="240"/>
      <c r="G139" s="240"/>
      <c r="H139" s="242"/>
      <c r="I139" s="243"/>
      <c r="J139" s="244"/>
      <c r="K139" s="247"/>
      <c r="L139" s="240"/>
      <c r="M139" s="240"/>
      <c r="N139" s="240"/>
      <c r="O139" s="240">
        <f t="shared" si="15"/>
        <v>3.7096800000000001</v>
      </c>
      <c r="P139" s="241"/>
      <c r="Q139" s="241"/>
      <c r="R139" s="241"/>
      <c r="S139" s="245">
        <v>5</v>
      </c>
      <c r="T139">
        <v>1</v>
      </c>
    </row>
    <row r="140" spans="1:22">
      <c r="A140" s="238"/>
      <c r="B140" s="246"/>
      <c r="C140" s="245" t="s">
        <v>235</v>
      </c>
      <c r="D140" s="245">
        <v>0</v>
      </c>
      <c r="E140" s="240"/>
      <c r="F140" s="240"/>
      <c r="G140" s="240"/>
      <c r="H140" s="242"/>
      <c r="I140" s="243"/>
      <c r="J140" s="244"/>
      <c r="K140" s="247"/>
      <c r="L140" s="240"/>
      <c r="M140" s="240"/>
      <c r="N140" s="240"/>
      <c r="O140" s="240">
        <f t="shared" si="15"/>
        <v>0</v>
      </c>
      <c r="P140" s="241"/>
      <c r="Q140" s="241"/>
      <c r="R140" s="241"/>
      <c r="S140" s="245">
        <v>5</v>
      </c>
      <c r="T140">
        <v>1</v>
      </c>
    </row>
    <row r="141" spans="1:22">
      <c r="A141" s="238"/>
      <c r="B141" s="246"/>
      <c r="C141" s="245" t="s">
        <v>236</v>
      </c>
      <c r="D141" s="245">
        <v>0</v>
      </c>
      <c r="E141" s="240"/>
      <c r="F141" s="240"/>
      <c r="G141" s="240"/>
      <c r="H141" s="242"/>
      <c r="I141" s="243"/>
      <c r="J141" s="244"/>
      <c r="K141" s="247"/>
      <c r="L141" s="240"/>
      <c r="M141" s="240"/>
      <c r="N141" s="240"/>
      <c r="O141" s="240">
        <f t="shared" si="15"/>
        <v>0</v>
      </c>
      <c r="P141" s="241"/>
      <c r="Q141" s="241"/>
      <c r="R141" s="241"/>
      <c r="S141" s="245">
        <v>5</v>
      </c>
      <c r="T141">
        <v>1</v>
      </c>
    </row>
    <row r="142" spans="1:22">
      <c r="A142" s="238"/>
      <c r="B142" s="246"/>
      <c r="C142" s="245" t="s">
        <v>237</v>
      </c>
      <c r="D142" s="245">
        <v>0</v>
      </c>
      <c r="E142" s="240"/>
      <c r="F142" s="240"/>
      <c r="G142" s="240"/>
      <c r="H142" s="242"/>
      <c r="I142" s="243"/>
      <c r="J142" s="244"/>
      <c r="K142" s="247"/>
      <c r="L142" s="240"/>
      <c r="M142" s="240"/>
      <c r="N142" s="240"/>
      <c r="O142" s="240">
        <f t="shared" si="15"/>
        <v>0</v>
      </c>
      <c r="P142" s="241"/>
      <c r="Q142" s="241"/>
      <c r="R142" s="241"/>
      <c r="S142" s="245">
        <v>5</v>
      </c>
      <c r="T142">
        <v>1</v>
      </c>
    </row>
    <row r="143" spans="1:22">
      <c r="A143" s="238"/>
      <c r="B143" s="246"/>
      <c r="C143" s="245" t="s">
        <v>238</v>
      </c>
      <c r="D143" s="245">
        <v>0</v>
      </c>
      <c r="E143" s="240"/>
      <c r="F143" s="240"/>
      <c r="G143" s="240"/>
      <c r="H143" s="242"/>
      <c r="I143" s="243"/>
      <c r="J143" s="244"/>
      <c r="K143" s="247"/>
      <c r="L143" s="240"/>
      <c r="M143" s="240"/>
      <c r="N143" s="240"/>
      <c r="O143" s="240">
        <f t="shared" si="15"/>
        <v>0</v>
      </c>
      <c r="P143" s="241"/>
      <c r="Q143" s="241"/>
      <c r="R143" s="241"/>
      <c r="S143" s="245">
        <v>5</v>
      </c>
      <c r="T143">
        <v>1</v>
      </c>
    </row>
    <row r="144" spans="1:22">
      <c r="A144" s="238"/>
      <c r="B144" s="246"/>
      <c r="C144" s="245" t="s">
        <v>239</v>
      </c>
      <c r="D144" s="245">
        <v>14.06</v>
      </c>
      <c r="E144" s="240"/>
      <c r="F144" s="240"/>
      <c r="G144" s="240"/>
      <c r="H144" s="242"/>
      <c r="I144" s="243"/>
      <c r="J144" s="244"/>
      <c r="K144" s="247"/>
      <c r="L144" s="240"/>
      <c r="M144" s="240"/>
      <c r="N144" s="240"/>
      <c r="O144" s="240">
        <f t="shared" si="15"/>
        <v>2.0387</v>
      </c>
      <c r="P144" s="241"/>
      <c r="Q144" s="241"/>
      <c r="R144" s="241"/>
      <c r="S144" s="245">
        <v>5</v>
      </c>
      <c r="T144">
        <v>1</v>
      </c>
    </row>
    <row r="145" spans="1:22">
      <c r="A145" s="238"/>
      <c r="B145" s="246"/>
      <c r="C145" s="245" t="s">
        <v>240</v>
      </c>
      <c r="D145" s="245">
        <v>21.125999999999998</v>
      </c>
      <c r="E145" s="240"/>
      <c r="F145" s="240"/>
      <c r="G145" s="240"/>
      <c r="H145" s="242"/>
      <c r="I145" s="243"/>
      <c r="J145" s="244"/>
      <c r="K145" s="247"/>
      <c r="L145" s="240"/>
      <c r="M145" s="240"/>
      <c r="N145" s="240"/>
      <c r="O145" s="240">
        <f t="shared" si="15"/>
        <v>3.0632699999999993</v>
      </c>
      <c r="P145" s="241"/>
      <c r="Q145" s="241"/>
      <c r="R145" s="241"/>
      <c r="S145" s="245">
        <v>5</v>
      </c>
      <c r="T145">
        <v>1</v>
      </c>
    </row>
    <row r="146" spans="1:22">
      <c r="A146" s="238"/>
      <c r="B146" s="246"/>
      <c r="C146" s="245" t="s">
        <v>241</v>
      </c>
      <c r="D146" s="245">
        <v>10.272</v>
      </c>
      <c r="E146" s="240"/>
      <c r="F146" s="240"/>
      <c r="G146" s="240"/>
      <c r="H146" s="242"/>
      <c r="I146" s="243"/>
      <c r="J146" s="244"/>
      <c r="K146" s="247"/>
      <c r="L146" s="240"/>
      <c r="M146" s="240"/>
      <c r="N146" s="240"/>
      <c r="O146" s="240">
        <f t="shared" si="15"/>
        <v>1.4894399999999999</v>
      </c>
      <c r="P146" s="241"/>
      <c r="Q146" s="241"/>
      <c r="R146" s="241"/>
      <c r="S146" s="245">
        <v>5</v>
      </c>
      <c r="T146">
        <v>1</v>
      </c>
    </row>
    <row r="147" spans="1:22">
      <c r="A147" s="238"/>
      <c r="B147" s="246"/>
      <c r="C147" s="245" t="s">
        <v>242</v>
      </c>
      <c r="D147" s="245">
        <v>0</v>
      </c>
      <c r="E147" s="240"/>
      <c r="F147" s="240"/>
      <c r="G147" s="240"/>
      <c r="H147" s="242"/>
      <c r="I147" s="243"/>
      <c r="J147" s="244"/>
      <c r="K147" s="247"/>
      <c r="L147" s="240"/>
      <c r="M147" s="240"/>
      <c r="N147" s="240"/>
      <c r="O147" s="240">
        <f t="shared" si="15"/>
        <v>0</v>
      </c>
      <c r="P147" s="241"/>
      <c r="Q147" s="241"/>
      <c r="R147" s="241"/>
      <c r="S147" s="245">
        <v>5</v>
      </c>
      <c r="T147">
        <v>1</v>
      </c>
    </row>
    <row r="148" spans="1:22">
      <c r="A148" s="238"/>
      <c r="B148" s="246"/>
      <c r="C148" s="245" t="s">
        <v>235</v>
      </c>
      <c r="D148" s="245">
        <v>0</v>
      </c>
      <c r="E148" s="240"/>
      <c r="F148" s="240"/>
      <c r="G148" s="240"/>
      <c r="H148" s="242"/>
      <c r="I148" s="243"/>
      <c r="J148" s="244"/>
      <c r="K148" s="247"/>
      <c r="L148" s="240"/>
      <c r="M148" s="240"/>
      <c r="N148" s="240"/>
      <c r="O148" s="240">
        <f t="shared" si="15"/>
        <v>0</v>
      </c>
      <c r="P148" s="241"/>
      <c r="Q148" s="241"/>
      <c r="R148" s="241"/>
      <c r="S148" s="245">
        <v>5</v>
      </c>
      <c r="T148">
        <v>1</v>
      </c>
    </row>
    <row r="149" spans="1:22">
      <c r="A149" s="238"/>
      <c r="B149" s="246"/>
      <c r="C149" s="245" t="s">
        <v>243</v>
      </c>
      <c r="D149" s="245">
        <v>4.5999999999999996</v>
      </c>
      <c r="E149" s="240"/>
      <c r="F149" s="240"/>
      <c r="G149" s="240"/>
      <c r="H149" s="242"/>
      <c r="I149" s="243"/>
      <c r="J149" s="244"/>
      <c r="K149" s="247"/>
      <c r="L149" s="240"/>
      <c r="M149" s="240"/>
      <c r="N149" s="240"/>
      <c r="O149" s="240">
        <f t="shared" si="15"/>
        <v>0.66699999999999993</v>
      </c>
      <c r="P149" s="241"/>
      <c r="Q149" s="241"/>
      <c r="R149" s="241"/>
      <c r="S149" s="245">
        <v>5</v>
      </c>
      <c r="T149">
        <v>1</v>
      </c>
    </row>
    <row r="150" spans="1:22">
      <c r="A150" s="238"/>
      <c r="B150" s="246"/>
      <c r="C150" s="245" t="s">
        <v>244</v>
      </c>
      <c r="D150" s="245">
        <v>0</v>
      </c>
      <c r="E150" s="240"/>
      <c r="F150" s="240"/>
      <c r="G150" s="240"/>
      <c r="H150" s="242"/>
      <c r="I150" s="243"/>
      <c r="J150" s="244"/>
      <c r="K150" s="247"/>
      <c r="L150" s="240"/>
      <c r="M150" s="240"/>
      <c r="N150" s="240"/>
      <c r="O150" s="240">
        <f t="shared" si="15"/>
        <v>0</v>
      </c>
      <c r="P150" s="241"/>
      <c r="Q150" s="241"/>
      <c r="R150" s="241"/>
      <c r="S150" s="245">
        <v>5</v>
      </c>
      <c r="T150">
        <v>1</v>
      </c>
    </row>
    <row r="151" spans="1:22">
      <c r="A151" s="238"/>
      <c r="B151" s="246"/>
      <c r="C151" s="239"/>
      <c r="D151" s="245"/>
      <c r="E151" s="240"/>
      <c r="F151" s="240"/>
      <c r="G151" s="241"/>
      <c r="H151" s="242"/>
      <c r="I151" s="243"/>
      <c r="J151" s="244"/>
      <c r="K151" s="247"/>
      <c r="L151" s="240"/>
      <c r="M151" s="240"/>
      <c r="N151" s="240"/>
      <c r="O151" s="240"/>
      <c r="P151" s="241"/>
      <c r="Q151" s="241"/>
      <c r="R151" s="241"/>
      <c r="S151" s="245"/>
      <c r="T151">
        <v>1</v>
      </c>
    </row>
    <row r="152" spans="1:22" ht="3.95" customHeight="1">
      <c r="A152" s="249"/>
      <c r="B152" s="250" t="s">
        <v>245</v>
      </c>
      <c r="C152" s="251"/>
      <c r="D152" s="252"/>
      <c r="E152" s="253"/>
      <c r="F152" s="253"/>
      <c r="G152" s="249"/>
      <c r="H152" s="254"/>
      <c r="I152" s="255"/>
      <c r="J152" s="256"/>
      <c r="K152" s="257"/>
      <c r="L152" s="253"/>
      <c r="M152" s="253"/>
      <c r="N152" s="253"/>
      <c r="O152" s="253"/>
      <c r="P152" s="249"/>
      <c r="Q152" s="249"/>
      <c r="R152" s="249"/>
      <c r="S152" s="252"/>
      <c r="T152">
        <v>1</v>
      </c>
    </row>
    <row r="153" spans="1:22">
      <c r="A153" s="258"/>
      <c r="B153" s="1"/>
      <c r="C153" s="259"/>
      <c r="D153" s="1"/>
      <c r="E153" s="1"/>
      <c r="F153" s="1"/>
      <c r="G153" s="1"/>
      <c r="H153" s="260"/>
      <c r="I153" s="261"/>
      <c r="J153" s="262"/>
      <c r="K153" s="263">
        <f>SUM(K4:K152)</f>
        <v>2343.7627395999998</v>
      </c>
      <c r="L153" s="264">
        <f>SUM(L4:L152)</f>
        <v>1787.5420000000001</v>
      </c>
      <c r="M153" s="264">
        <f>SUM(M4:M152)</f>
        <v>9</v>
      </c>
      <c r="N153" s="264">
        <f>SUM(N4:N152)</f>
        <v>25906.120005200006</v>
      </c>
      <c r="O153" s="264">
        <f>SUM(O4:O152)</f>
        <v>963.74125000000004</v>
      </c>
      <c r="P153" s="264">
        <f>SUM(P4:P120)</f>
        <v>1375.8388000000002</v>
      </c>
      <c r="Q153" s="264">
        <f>SUM(Q4:Q120)</f>
        <v>621.53599999999994</v>
      </c>
      <c r="R153" s="265">
        <f>SUM(R4:R120)</f>
        <v>6</v>
      </c>
      <c r="S153" s="266"/>
      <c r="T153">
        <v>1</v>
      </c>
      <c r="U153" s="267">
        <f>SUM(K153:T153)</f>
        <v>33014.540794800007</v>
      </c>
      <c r="V153">
        <f>U153*2.5</f>
        <v>82536.351987000016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Y92"/>
  <sheetViews>
    <sheetView view="pageBreakPreview" zoomScale="80" zoomScaleSheetLayoutView="80" workbookViewId="0">
      <selection activeCell="D17" sqref="D17"/>
    </sheetView>
  </sheetViews>
  <sheetFormatPr defaultColWidth="9.140625" defaultRowHeight="14.25"/>
  <cols>
    <col min="1" max="1" width="8.7109375" style="156" customWidth="1"/>
    <col min="2" max="2" width="9.5703125" style="123" bestFit="1" customWidth="1"/>
    <col min="3" max="3" width="71.42578125" style="123" customWidth="1"/>
    <col min="4" max="4" width="12.28515625" style="123" customWidth="1"/>
    <col min="5" max="5" width="11.28515625" style="123" customWidth="1"/>
    <col min="6" max="6" width="15.140625" style="123" customWidth="1"/>
    <col min="7" max="7" width="23.42578125" style="123" customWidth="1"/>
    <col min="8" max="8" width="11.42578125" style="122" customWidth="1"/>
    <col min="9" max="11" width="10.7109375" style="122" hidden="1" customWidth="1"/>
    <col min="12" max="12" width="10.28515625" style="122" hidden="1" customWidth="1"/>
    <col min="13" max="13" width="9.28515625" style="122" hidden="1" customWidth="1"/>
    <col min="14" max="14" width="13.5703125" style="122" bestFit="1" customWidth="1"/>
    <col min="15" max="15" width="11.42578125" style="122" bestFit="1" customWidth="1"/>
    <col min="16" max="16" width="10.7109375" style="122" bestFit="1" customWidth="1"/>
    <col min="17" max="25" width="9.140625" style="122"/>
    <col min="26" max="16384" width="9.140625" style="123"/>
  </cols>
  <sheetData>
    <row r="1" spans="2:14" ht="20.25">
      <c r="B1" s="385" t="s">
        <v>181</v>
      </c>
      <c r="C1" s="386"/>
      <c r="D1" s="386"/>
      <c r="E1" s="386"/>
      <c r="F1" s="386"/>
      <c r="G1" s="387"/>
    </row>
    <row r="2" spans="2:14" ht="21" customHeight="1">
      <c r="B2" s="124" t="s">
        <v>14</v>
      </c>
      <c r="C2" s="124" t="s">
        <v>12</v>
      </c>
      <c r="D2" s="124" t="s">
        <v>1</v>
      </c>
      <c r="E2" s="124" t="s">
        <v>2</v>
      </c>
      <c r="F2" s="124" t="s">
        <v>16</v>
      </c>
      <c r="G2" s="124" t="s">
        <v>3</v>
      </c>
    </row>
    <row r="3" spans="2:14" ht="27.75" customHeight="1">
      <c r="B3" s="195" t="s">
        <v>160</v>
      </c>
      <c r="C3" s="135" t="s">
        <v>67</v>
      </c>
      <c r="D3" s="125"/>
      <c r="E3" s="125"/>
      <c r="F3" s="125"/>
      <c r="G3" s="125"/>
    </row>
    <row r="4" spans="2:14" ht="28.5">
      <c r="B4" s="125">
        <v>1</v>
      </c>
      <c r="C4" s="126" t="s">
        <v>0</v>
      </c>
      <c r="D4" s="136">
        <f>73+3.85+11.025+0.175+1.96+3.4+2.695+3.55+1.4+5.7+2.06+0.49+5.63+0.35+2.5+3.28+8.15+0.007</f>
        <v>129.22199999999998</v>
      </c>
      <c r="E4" s="136" t="s">
        <v>4</v>
      </c>
      <c r="F4" s="136">
        <v>30811.3</v>
      </c>
      <c r="G4" s="136">
        <f>D4*F4</f>
        <v>3981497.8085999992</v>
      </c>
    </row>
    <row r="5" spans="2:14" hidden="1">
      <c r="B5" s="125"/>
      <c r="C5" s="127" t="s">
        <v>60</v>
      </c>
      <c r="D5" s="136"/>
      <c r="E5" s="180" t="s">
        <v>61</v>
      </c>
      <c r="F5" s="181">
        <v>412.23394137652696</v>
      </c>
      <c r="G5" s="136">
        <f t="shared" ref="G5:G8" si="0">D5*F5</f>
        <v>0</v>
      </c>
    </row>
    <row r="6" spans="2:14" hidden="1">
      <c r="B6" s="125"/>
      <c r="C6" s="127" t="s">
        <v>62</v>
      </c>
      <c r="D6" s="136"/>
      <c r="E6" s="180" t="s">
        <v>61</v>
      </c>
      <c r="F6" s="181">
        <v>599.22665705247732</v>
      </c>
      <c r="G6" s="136">
        <f t="shared" si="0"/>
        <v>0</v>
      </c>
    </row>
    <row r="7" spans="2:14" hidden="1">
      <c r="B7" s="125"/>
      <c r="C7" s="127" t="s">
        <v>63</v>
      </c>
      <c r="D7" s="136"/>
      <c r="E7" s="180" t="s">
        <v>61</v>
      </c>
      <c r="F7" s="181">
        <v>1213.752718114805</v>
      </c>
      <c r="G7" s="136">
        <f t="shared" si="0"/>
        <v>0</v>
      </c>
    </row>
    <row r="8" spans="2:14" hidden="1">
      <c r="B8" s="125"/>
      <c r="C8" s="128" t="s">
        <v>64</v>
      </c>
      <c r="D8" s="136"/>
      <c r="E8" s="182" t="s">
        <v>61</v>
      </c>
      <c r="F8" s="181">
        <v>2395.2066944310372</v>
      </c>
      <c r="G8" s="136">
        <f t="shared" si="0"/>
        <v>0</v>
      </c>
    </row>
    <row r="9" spans="2:14" ht="43.5" customHeight="1">
      <c r="B9" s="125">
        <v>2</v>
      </c>
      <c r="C9" s="160" t="s">
        <v>7</v>
      </c>
      <c r="D9" s="136"/>
      <c r="E9" s="136"/>
      <c r="F9" s="136"/>
      <c r="G9" s="136"/>
    </row>
    <row r="10" spans="2:14" ht="16.5" customHeight="1">
      <c r="B10" s="125"/>
      <c r="C10" s="161" t="s">
        <v>5</v>
      </c>
      <c r="D10" s="198">
        <f>2928897.2+10000</f>
        <v>2938897.2</v>
      </c>
      <c r="E10" s="136" t="s">
        <v>6</v>
      </c>
      <c r="F10" s="136">
        <v>90.23</v>
      </c>
      <c r="G10" s="136">
        <f t="shared" ref="G10:G11" si="1">D10*F10</f>
        <v>265176694.35600004</v>
      </c>
      <c r="I10" s="130">
        <v>14853</v>
      </c>
      <c r="K10" s="122">
        <v>60648</v>
      </c>
    </row>
    <row r="11" spans="2:14" ht="42" customHeight="1">
      <c r="B11" s="125"/>
      <c r="C11" s="131" t="s">
        <v>126</v>
      </c>
      <c r="D11" s="198">
        <f>309791+2254+28300+20262+21455+4150+21524.3+18457+276545+125450+50000</f>
        <v>878188.3</v>
      </c>
      <c r="E11" s="136" t="s">
        <v>6</v>
      </c>
      <c r="F11" s="136">
        <v>308.11</v>
      </c>
      <c r="G11" s="136">
        <f t="shared" si="1"/>
        <v>270578597.11300004</v>
      </c>
      <c r="H11" s="122">
        <f>50000</f>
        <v>50000</v>
      </c>
      <c r="I11" s="130"/>
      <c r="J11" s="132"/>
      <c r="N11" s="130"/>
    </row>
    <row r="12" spans="2:14" ht="28.5">
      <c r="B12" s="125">
        <v>3</v>
      </c>
      <c r="C12" s="126" t="s">
        <v>9</v>
      </c>
      <c r="D12" s="136"/>
      <c r="E12" s="136"/>
      <c r="F12" s="136"/>
      <c r="G12" s="136"/>
      <c r="I12" s="130"/>
      <c r="J12" s="132"/>
      <c r="N12" s="130"/>
    </row>
    <row r="13" spans="2:14" ht="28.5">
      <c r="B13" s="125"/>
      <c r="C13" s="133" t="s">
        <v>8</v>
      </c>
      <c r="D13" s="136"/>
      <c r="E13" s="136"/>
      <c r="F13" s="136"/>
      <c r="G13" s="136"/>
      <c r="I13" s="130"/>
      <c r="J13" s="132"/>
      <c r="N13" s="130"/>
    </row>
    <row r="14" spans="2:14">
      <c r="B14" s="125"/>
      <c r="C14" s="129" t="s">
        <v>10</v>
      </c>
      <c r="D14" s="198">
        <f>2010729.615+25000</f>
        <v>2035729.615</v>
      </c>
      <c r="E14" s="136" t="s">
        <v>6</v>
      </c>
      <c r="F14" s="136">
        <v>96.91</v>
      </c>
      <c r="G14" s="136">
        <f t="shared" ref="G14:G15" si="2">D14*F14</f>
        <v>197282556.98964998</v>
      </c>
      <c r="I14" s="130"/>
      <c r="J14" s="132"/>
      <c r="N14" s="130"/>
    </row>
    <row r="15" spans="2:14">
      <c r="B15" s="125"/>
      <c r="C15" s="129" t="s">
        <v>38</v>
      </c>
      <c r="D15" s="198">
        <f>54904.65+54772.5+3320+22455+15976-6124+19355+42357+30549+77500+25000+10000</f>
        <v>350065.15</v>
      </c>
      <c r="E15" s="136" t="s">
        <v>6</v>
      </c>
      <c r="F15" s="136">
        <v>249.23</v>
      </c>
      <c r="G15" s="136">
        <f t="shared" si="2"/>
        <v>87246737.3345</v>
      </c>
      <c r="I15" s="130"/>
      <c r="J15" s="132"/>
      <c r="N15" s="130"/>
    </row>
    <row r="16" spans="2:14" ht="25.5">
      <c r="B16" s="134">
        <v>4</v>
      </c>
      <c r="C16" s="128" t="s">
        <v>65</v>
      </c>
      <c r="D16" s="136"/>
      <c r="E16" s="136"/>
      <c r="F16" s="136"/>
      <c r="G16" s="136"/>
      <c r="I16" s="130"/>
      <c r="J16" s="132"/>
      <c r="N16" s="130"/>
    </row>
    <row r="17" spans="1:14" ht="21" customHeight="1">
      <c r="B17" s="134"/>
      <c r="C17" s="128" t="s">
        <v>127</v>
      </c>
      <c r="D17" s="198">
        <f>256500+25000</f>
        <v>281500</v>
      </c>
      <c r="E17" s="136" t="s">
        <v>6</v>
      </c>
      <c r="F17" s="136">
        <v>249.2337246708139</v>
      </c>
      <c r="G17" s="136">
        <f t="shared" ref="G17:G22" si="3">D17*F17</f>
        <v>70159293.49483411</v>
      </c>
      <c r="I17" s="130"/>
      <c r="J17" s="132"/>
      <c r="N17" s="130"/>
    </row>
    <row r="18" spans="1:14" ht="28.5" customHeight="1">
      <c r="B18" s="125">
        <v>5</v>
      </c>
      <c r="C18" s="127" t="s">
        <v>128</v>
      </c>
      <c r="D18" s="198">
        <f>46242.975+1125+6056+6287.6+955.7+1435+64+122.4+806+426+832+720+755+985</f>
        <v>66812.674999999988</v>
      </c>
      <c r="E18" s="136" t="s">
        <v>6</v>
      </c>
      <c r="F18" s="136">
        <v>1078.429300650386</v>
      </c>
      <c r="G18" s="136">
        <f t="shared" si="3"/>
        <v>72052746.374831513</v>
      </c>
      <c r="I18" s="130"/>
      <c r="J18" s="132"/>
      <c r="N18" s="130"/>
    </row>
    <row r="19" spans="1:14" customFormat="1" ht="33.75" customHeight="1">
      <c r="B19" s="169">
        <v>6</v>
      </c>
      <c r="C19" s="40" t="s">
        <v>176</v>
      </c>
      <c r="D19" s="199">
        <v>24401.999999999993</v>
      </c>
      <c r="E19" s="76" t="s">
        <v>6</v>
      </c>
      <c r="F19" s="76">
        <v>1978.3380257861238</v>
      </c>
      <c r="G19" s="170">
        <f>F19*D19</f>
        <v>48275404.505232982</v>
      </c>
      <c r="H19" s="166"/>
      <c r="I19" s="18"/>
      <c r="J19" s="171"/>
      <c r="K19" s="166"/>
      <c r="L19" s="19"/>
      <c r="M19" s="65"/>
      <c r="N19" s="172"/>
    </row>
    <row r="20" spans="1:14" ht="41.25" customHeight="1">
      <c r="B20" s="125">
        <v>6</v>
      </c>
      <c r="C20" s="127" t="s">
        <v>161</v>
      </c>
      <c r="D20" s="198">
        <v>13769</v>
      </c>
      <c r="E20" s="136" t="s">
        <v>6</v>
      </c>
      <c r="F20" s="136">
        <v>1605.2049429494912</v>
      </c>
      <c r="G20" s="136">
        <f t="shared" si="3"/>
        <v>22102066.859471545</v>
      </c>
      <c r="I20" s="130"/>
      <c r="J20" s="132"/>
      <c r="N20" s="130"/>
    </row>
    <row r="21" spans="1:14" ht="30" customHeight="1">
      <c r="B21" s="125">
        <v>7</v>
      </c>
      <c r="C21" s="127" t="s">
        <v>129</v>
      </c>
      <c r="D21" s="198">
        <v>12732.000000000004</v>
      </c>
      <c r="E21" s="136" t="s">
        <v>6</v>
      </c>
      <c r="F21" s="136">
        <v>1605.2049429494912</v>
      </c>
      <c r="G21" s="136">
        <f t="shared" si="3"/>
        <v>20437469.333632927</v>
      </c>
      <c r="I21" s="130"/>
      <c r="J21" s="132"/>
      <c r="N21" s="130"/>
    </row>
    <row r="22" spans="1:14" ht="30" customHeight="1">
      <c r="B22" s="125">
        <v>8</v>
      </c>
      <c r="C22" s="127" t="s">
        <v>162</v>
      </c>
      <c r="D22" s="198">
        <v>12016.875</v>
      </c>
      <c r="E22" s="136" t="s">
        <v>6</v>
      </c>
      <c r="F22" s="136">
        <v>1802</v>
      </c>
      <c r="G22" s="136">
        <f t="shared" si="3"/>
        <v>21654408.75</v>
      </c>
      <c r="I22" s="130"/>
      <c r="J22" s="162"/>
      <c r="N22" s="130"/>
    </row>
    <row r="23" spans="1:14" ht="25.5" customHeight="1">
      <c r="B23" s="195" t="s">
        <v>163</v>
      </c>
      <c r="C23" s="135" t="s">
        <v>102</v>
      </c>
      <c r="D23" s="136"/>
      <c r="E23" s="136"/>
      <c r="F23" s="136"/>
      <c r="G23" s="136"/>
      <c r="I23" s="130"/>
      <c r="J23" s="132"/>
      <c r="N23" s="130"/>
    </row>
    <row r="24" spans="1:14" ht="25.5">
      <c r="B24" s="125">
        <v>1</v>
      </c>
      <c r="C24" s="127" t="s">
        <v>130</v>
      </c>
      <c r="D24" s="136">
        <v>185150.00000000003</v>
      </c>
      <c r="E24" s="136" t="s">
        <v>106</v>
      </c>
      <c r="F24" s="136">
        <v>49.225000000000001</v>
      </c>
      <c r="G24" s="136">
        <f t="shared" ref="G24:G26" si="4">D24*F24</f>
        <v>9114008.7500000019</v>
      </c>
      <c r="I24" s="130"/>
      <c r="J24" s="132"/>
      <c r="N24" s="130"/>
    </row>
    <row r="25" spans="1:14" ht="38.25">
      <c r="B25" s="125">
        <v>2</v>
      </c>
      <c r="C25" s="127" t="s">
        <v>131</v>
      </c>
      <c r="D25" s="136">
        <v>185150.00000000003</v>
      </c>
      <c r="E25" s="136" t="s">
        <v>106</v>
      </c>
      <c r="F25" s="136">
        <v>13.65</v>
      </c>
      <c r="G25" s="136">
        <f t="shared" si="4"/>
        <v>2527297.5000000005</v>
      </c>
      <c r="I25" s="130"/>
      <c r="J25" s="132"/>
      <c r="N25" s="130"/>
    </row>
    <row r="26" spans="1:14" ht="25.5">
      <c r="B26" s="125">
        <v>3</v>
      </c>
      <c r="C26" s="127" t="s">
        <v>132</v>
      </c>
      <c r="D26" s="136">
        <f>4207+125+141+1726.08+2506.51+882+195+404+234.3+660+125.3+(1850*11.5*0.06)</f>
        <v>12482.689999999999</v>
      </c>
      <c r="E26" s="136" t="s">
        <v>6</v>
      </c>
      <c r="F26" s="136">
        <v>9856.7824970557394</v>
      </c>
      <c r="G26" s="136">
        <f t="shared" si="4"/>
        <v>123039160.30817269</v>
      </c>
      <c r="I26" s="130"/>
      <c r="J26" s="132"/>
      <c r="N26" s="130"/>
    </row>
    <row r="27" spans="1:14" ht="29.25" customHeight="1">
      <c r="A27" s="157" t="s">
        <v>49</v>
      </c>
      <c r="B27" s="195" t="s">
        <v>164</v>
      </c>
      <c r="C27" s="135" t="s">
        <v>22</v>
      </c>
      <c r="D27" s="145"/>
      <c r="E27" s="145"/>
      <c r="F27" s="145"/>
      <c r="G27" s="145"/>
      <c r="I27" s="130"/>
      <c r="J27" s="132"/>
      <c r="N27" s="130"/>
    </row>
    <row r="28" spans="1:14" ht="28.5">
      <c r="B28" s="125">
        <v>1</v>
      </c>
      <c r="C28" s="137" t="s">
        <v>13</v>
      </c>
      <c r="D28" s="145"/>
      <c r="E28" s="145"/>
      <c r="F28" s="145"/>
      <c r="G28" s="145"/>
      <c r="I28" s="130"/>
      <c r="J28" s="132"/>
      <c r="N28" s="130"/>
    </row>
    <row r="29" spans="1:14">
      <c r="B29" s="125"/>
      <c r="C29" s="126" t="s">
        <v>11</v>
      </c>
      <c r="D29" s="136">
        <f>850+200+202.5+309+1476+700+1629.08+1644.5+168+222+401.45+252+458.8+2833.1+9285.836-4900+487.2+329.18+518.45+568.82+569.66+209.3+243.5+450+336.3+181.7+234.03+1463+2374+254+1748+1245+845</f>
        <v>27789.405999999999</v>
      </c>
      <c r="E29" s="145" t="s">
        <v>6</v>
      </c>
      <c r="F29" s="145">
        <v>96.91</v>
      </c>
      <c r="G29" s="136">
        <f t="shared" ref="G29:G32" si="5">D29*F29</f>
        <v>2693071.3354599997</v>
      </c>
      <c r="I29" s="130"/>
      <c r="J29" s="132"/>
      <c r="N29" s="130"/>
    </row>
    <row r="30" spans="1:14" ht="42.75">
      <c r="B30" s="125">
        <v>2</v>
      </c>
      <c r="C30" s="126" t="s">
        <v>133</v>
      </c>
      <c r="D30" s="136">
        <f>205+68+194+108.5+74.1+136.85+24+233+235.3+54.5+68+7+6+112+368.5+250+58.75+120+120+50</f>
        <v>2493.5</v>
      </c>
      <c r="E30" s="145" t="s">
        <v>6</v>
      </c>
      <c r="F30" s="145">
        <v>4576.99</v>
      </c>
      <c r="G30" s="136">
        <f t="shared" si="5"/>
        <v>11412724.564999999</v>
      </c>
      <c r="I30" s="130"/>
      <c r="J30" s="132"/>
      <c r="N30" s="130"/>
    </row>
    <row r="31" spans="1:14" ht="42.75">
      <c r="B31" s="125">
        <v>3</v>
      </c>
      <c r="C31" s="126" t="s">
        <v>134</v>
      </c>
      <c r="D31" s="136">
        <f>30.11+32+39+96.57+80+2768.53+265.2+1585.8+1488.05+2658.45+428.5+2551.56+2592.34+574+214+41.218+69.393+84+80+500</f>
        <v>16178.721</v>
      </c>
      <c r="E31" s="145" t="s">
        <v>6</v>
      </c>
      <c r="F31" s="145">
        <v>5868.53</v>
      </c>
      <c r="G31" s="136">
        <f t="shared" si="5"/>
        <v>94945309.550129995</v>
      </c>
      <c r="I31" s="130"/>
      <c r="J31" s="132"/>
      <c r="N31" s="130"/>
    </row>
    <row r="32" spans="1:14" ht="42.75">
      <c r="B32" s="125">
        <v>4</v>
      </c>
      <c r="C32" s="126" t="s">
        <v>135</v>
      </c>
      <c r="D32" s="198">
        <f>3858.470876+10+100</f>
        <v>3968.4708759999999</v>
      </c>
      <c r="E32" s="145" t="s">
        <v>29</v>
      </c>
      <c r="F32" s="145">
        <v>75718.77</v>
      </c>
      <c r="G32" s="136">
        <f t="shared" si="5"/>
        <v>300487733.5115425</v>
      </c>
      <c r="I32" s="130"/>
      <c r="J32" s="132"/>
      <c r="N32" s="130"/>
    </row>
    <row r="33" spans="1:25" ht="38.25">
      <c r="B33" s="125">
        <v>5</v>
      </c>
      <c r="C33" s="138" t="s">
        <v>136</v>
      </c>
      <c r="D33" s="136"/>
      <c r="E33" s="145"/>
      <c r="F33" s="145"/>
      <c r="G33" s="145"/>
      <c r="I33" s="130"/>
      <c r="J33" s="132"/>
      <c r="N33" s="130"/>
    </row>
    <row r="34" spans="1:25" s="139" customFormat="1" ht="20.25" customHeight="1">
      <c r="A34" s="156"/>
      <c r="B34" s="129"/>
      <c r="C34" s="138" t="s">
        <v>137</v>
      </c>
      <c r="D34" s="136">
        <f>2551.56+2592.34+1380.7+65.8+744+125+65.8+33.6+87.5+1861.5+146.3+1245+152+75+255.343-90+111.129+125.389+152.25+735+165+100+500</f>
        <v>13180.210999999999</v>
      </c>
      <c r="E34" s="145" t="s">
        <v>6</v>
      </c>
      <c r="F34" s="181">
        <v>7285.8483949228903</v>
      </c>
      <c r="G34" s="136">
        <f>D34*F34</f>
        <v>96029019.159095019</v>
      </c>
      <c r="H34" s="122"/>
      <c r="I34" s="122">
        <v>375</v>
      </c>
      <c r="J34" s="122"/>
      <c r="K34" s="122">
        <f>200+147</f>
        <v>347</v>
      </c>
      <c r="L34" s="122"/>
      <c r="M34" s="122"/>
      <c r="N34" s="122"/>
      <c r="O34" s="122"/>
      <c r="P34" s="122"/>
      <c r="Q34" s="122"/>
      <c r="R34" s="122"/>
      <c r="S34" s="122"/>
      <c r="T34" s="122"/>
      <c r="U34" s="122"/>
      <c r="V34" s="122"/>
      <c r="W34" s="122"/>
      <c r="X34" s="122"/>
      <c r="Y34" s="122"/>
    </row>
    <row r="35" spans="1:25" s="139" customFormat="1" ht="20.25" customHeight="1">
      <c r="A35" s="156"/>
      <c r="B35" s="129"/>
      <c r="C35" s="138"/>
      <c r="D35" s="136"/>
      <c r="E35" s="145"/>
      <c r="F35" s="181"/>
      <c r="G35" s="136"/>
      <c r="H35" s="122"/>
      <c r="I35" s="122"/>
      <c r="J35" s="122"/>
      <c r="K35" s="122"/>
      <c r="L35" s="122"/>
      <c r="M35" s="122"/>
      <c r="N35" s="122"/>
      <c r="O35" s="122"/>
      <c r="P35" s="122"/>
      <c r="Q35" s="122"/>
      <c r="R35" s="122"/>
      <c r="S35" s="122"/>
      <c r="T35" s="122"/>
      <c r="U35" s="122"/>
      <c r="V35" s="122"/>
      <c r="W35" s="122"/>
      <c r="X35" s="122"/>
      <c r="Y35" s="122"/>
    </row>
    <row r="36" spans="1:25" s="139" customFormat="1" ht="28.5" customHeight="1">
      <c r="A36" s="388" t="s">
        <v>93</v>
      </c>
      <c r="B36" s="195" t="s">
        <v>165</v>
      </c>
      <c r="C36" s="140" t="s">
        <v>26</v>
      </c>
      <c r="D36" s="145"/>
      <c r="E36" s="145"/>
      <c r="F36" s="145"/>
      <c r="G36" s="145"/>
      <c r="H36" s="122"/>
      <c r="I36" s="122"/>
      <c r="J36" s="122"/>
      <c r="K36" s="122"/>
      <c r="L36" s="122"/>
      <c r="M36" s="122"/>
      <c r="N36" s="122"/>
      <c r="O36" s="122"/>
      <c r="P36" s="122"/>
      <c r="Q36" s="122"/>
      <c r="R36" s="122"/>
      <c r="S36" s="122"/>
      <c r="T36" s="122"/>
      <c r="U36" s="122"/>
      <c r="V36" s="122"/>
      <c r="W36" s="122"/>
      <c r="X36" s="122"/>
      <c r="Y36" s="122"/>
    </row>
    <row r="37" spans="1:25" s="139" customFormat="1" ht="28.5">
      <c r="A37" s="388"/>
      <c r="B37" s="125">
        <v>1</v>
      </c>
      <c r="C37" s="126" t="s">
        <v>13</v>
      </c>
      <c r="D37" s="145"/>
      <c r="E37" s="145"/>
      <c r="F37" s="145"/>
      <c r="G37" s="145"/>
      <c r="H37" s="122"/>
      <c r="I37" s="122"/>
      <c r="J37" s="122"/>
      <c r="K37" s="122"/>
      <c r="L37" s="122"/>
      <c r="M37" s="122"/>
      <c r="N37" s="122"/>
      <c r="O37" s="122"/>
      <c r="P37" s="122"/>
      <c r="Q37" s="122"/>
      <c r="R37" s="122"/>
      <c r="S37" s="122"/>
      <c r="T37" s="122"/>
      <c r="U37" s="122"/>
      <c r="V37" s="122"/>
      <c r="W37" s="122"/>
      <c r="X37" s="122"/>
      <c r="Y37" s="122"/>
    </row>
    <row r="38" spans="1:25" s="139" customFormat="1" ht="15" customHeight="1">
      <c r="A38" s="158"/>
      <c r="B38" s="125"/>
      <c r="C38" s="126" t="s">
        <v>11</v>
      </c>
      <c r="D38" s="145">
        <f>6027+1895.4+5745+325+647+1288+3575</f>
        <v>19502.400000000001</v>
      </c>
      <c r="E38" s="145" t="s">
        <v>6</v>
      </c>
      <c r="F38" s="145">
        <v>112.79</v>
      </c>
      <c r="G38" s="136">
        <f>D38*F38</f>
        <v>2199675.6960000005</v>
      </c>
      <c r="H38" s="122"/>
      <c r="I38" s="122"/>
      <c r="J38" s="122"/>
      <c r="K38" s="122"/>
      <c r="L38" s="122"/>
      <c r="M38" s="122"/>
      <c r="N38" s="122"/>
      <c r="O38" s="122"/>
      <c r="P38" s="122"/>
      <c r="Q38" s="122"/>
      <c r="R38" s="122"/>
      <c r="S38" s="122"/>
      <c r="T38" s="122"/>
      <c r="U38" s="122"/>
      <c r="V38" s="122"/>
      <c r="W38" s="122"/>
      <c r="X38" s="122"/>
      <c r="Y38" s="122"/>
    </row>
    <row r="39" spans="1:25" s="139" customFormat="1" ht="42.75">
      <c r="A39" s="156"/>
      <c r="B39" s="125">
        <v>2</v>
      </c>
      <c r="C39" s="126" t="s">
        <v>138</v>
      </c>
      <c r="D39" s="145">
        <f>191+213+135+69.5+44.5+33.7+10+64.5+68.5+25</f>
        <v>854.7</v>
      </c>
      <c r="E39" s="145" t="s">
        <v>6</v>
      </c>
      <c r="F39" s="145">
        <v>4576.99</v>
      </c>
      <c r="G39" s="136">
        <f>D39*F39</f>
        <v>3911953.3530000001</v>
      </c>
      <c r="H39" s="122"/>
      <c r="I39" s="122"/>
      <c r="J39" s="122"/>
      <c r="K39" s="122"/>
      <c r="L39" s="122"/>
      <c r="M39" s="122"/>
      <c r="N39" s="122"/>
      <c r="O39" s="122"/>
      <c r="P39" s="122"/>
      <c r="Q39" s="122"/>
      <c r="R39" s="122"/>
      <c r="S39" s="122"/>
      <c r="T39" s="122"/>
      <c r="U39" s="122"/>
      <c r="V39" s="122"/>
      <c r="W39" s="122"/>
      <c r="X39" s="122"/>
      <c r="Y39" s="122"/>
    </row>
    <row r="40" spans="1:25" s="139" customFormat="1" ht="42.75">
      <c r="A40" s="156"/>
      <c r="B40" s="125">
        <v>3</v>
      </c>
      <c r="C40" s="126" t="s">
        <v>139</v>
      </c>
      <c r="D40" s="145"/>
      <c r="E40" s="145"/>
      <c r="F40" s="145"/>
      <c r="G40" s="145"/>
      <c r="H40" s="122"/>
      <c r="I40" s="122"/>
      <c r="J40" s="122"/>
      <c r="K40" s="122"/>
      <c r="L40" s="122"/>
      <c r="M40" s="122"/>
      <c r="N40" s="122"/>
      <c r="O40" s="122"/>
      <c r="P40" s="122"/>
      <c r="Q40" s="122"/>
      <c r="R40" s="122"/>
      <c r="S40" s="122"/>
      <c r="T40" s="122"/>
      <c r="U40" s="122"/>
      <c r="V40" s="122"/>
      <c r="W40" s="122"/>
      <c r="X40" s="122"/>
      <c r="Y40" s="122"/>
    </row>
    <row r="41" spans="1:25" s="139" customFormat="1">
      <c r="A41" s="156"/>
      <c r="B41" s="125"/>
      <c r="C41" s="126" t="s">
        <v>140</v>
      </c>
      <c r="D41" s="145">
        <f>121+344+4812</f>
        <v>5277</v>
      </c>
      <c r="E41" s="145" t="s">
        <v>6</v>
      </c>
      <c r="F41" s="145">
        <v>5868.53</v>
      </c>
      <c r="G41" s="136">
        <f>D41*F41</f>
        <v>30968232.809999999</v>
      </c>
      <c r="H41" s="122"/>
      <c r="I41" s="122"/>
      <c r="J41" s="122"/>
      <c r="K41" s="122"/>
      <c r="L41" s="122"/>
      <c r="M41" s="122"/>
      <c r="N41" s="122"/>
      <c r="O41" s="122"/>
      <c r="P41" s="122"/>
      <c r="Q41" s="122"/>
      <c r="R41" s="122"/>
      <c r="S41" s="122"/>
      <c r="T41" s="122"/>
      <c r="U41" s="122"/>
      <c r="V41" s="122"/>
      <c r="W41" s="122"/>
      <c r="X41" s="122"/>
      <c r="Y41" s="122"/>
    </row>
    <row r="42" spans="1:25" s="139" customFormat="1">
      <c r="A42" s="156"/>
      <c r="B42" s="125"/>
      <c r="C42" s="126" t="s">
        <v>141</v>
      </c>
      <c r="D42" s="145"/>
      <c r="E42" s="145" t="s">
        <v>6</v>
      </c>
      <c r="F42" s="145">
        <v>6025.2</v>
      </c>
      <c r="G42" s="145">
        <f>D42*F42</f>
        <v>0</v>
      </c>
      <c r="H42" s="122"/>
      <c r="I42" s="122"/>
      <c r="J42" s="122"/>
      <c r="K42" s="122"/>
      <c r="L42" s="122"/>
      <c r="M42" s="122"/>
      <c r="N42" s="122"/>
      <c r="O42" s="122"/>
      <c r="P42" s="122"/>
      <c r="Q42" s="122"/>
      <c r="R42" s="122"/>
      <c r="S42" s="122"/>
      <c r="T42" s="122"/>
      <c r="U42" s="122"/>
      <c r="V42" s="122"/>
      <c r="W42" s="122"/>
      <c r="X42" s="122"/>
      <c r="Y42" s="122"/>
    </row>
    <row r="43" spans="1:25" s="139" customFormat="1" ht="42.75">
      <c r="A43" s="156"/>
      <c r="B43" s="125">
        <v>4</v>
      </c>
      <c r="C43" s="126" t="s">
        <v>142</v>
      </c>
      <c r="D43" s="145"/>
      <c r="E43" s="145"/>
      <c r="F43" s="145"/>
      <c r="G43" s="145"/>
      <c r="H43" s="122"/>
      <c r="I43" s="122"/>
      <c r="J43" s="122"/>
      <c r="K43" s="122"/>
      <c r="L43" s="122"/>
      <c r="M43" s="122"/>
      <c r="N43" s="122"/>
      <c r="O43" s="122"/>
      <c r="P43" s="122"/>
      <c r="Q43" s="122"/>
      <c r="R43" s="122"/>
      <c r="S43" s="122"/>
      <c r="T43" s="122"/>
      <c r="U43" s="122"/>
      <c r="V43" s="122"/>
      <c r="W43" s="122"/>
      <c r="X43" s="122"/>
      <c r="Y43" s="122"/>
    </row>
    <row r="44" spans="1:25" s="139" customFormat="1">
      <c r="A44" s="156"/>
      <c r="B44" s="125"/>
      <c r="C44" s="126" t="s">
        <v>143</v>
      </c>
      <c r="D44" s="145">
        <f>4416+488.2+1345+125</f>
        <v>6374.2</v>
      </c>
      <c r="E44" s="145" t="s">
        <v>6</v>
      </c>
      <c r="F44" s="145">
        <v>6577.18850085551</v>
      </c>
      <c r="G44" s="136">
        <f>D44*F44</f>
        <v>41924314.942153193</v>
      </c>
      <c r="H44" s="122"/>
      <c r="I44" s="122"/>
      <c r="J44" s="122"/>
      <c r="K44" s="122"/>
      <c r="L44" s="122"/>
      <c r="M44" s="122"/>
      <c r="N44" s="122"/>
      <c r="O44" s="122"/>
      <c r="P44" s="122"/>
      <c r="Q44" s="122"/>
      <c r="R44" s="122"/>
      <c r="S44" s="122"/>
      <c r="T44" s="122"/>
      <c r="U44" s="122"/>
      <c r="V44" s="122"/>
      <c r="W44" s="122"/>
      <c r="X44" s="122"/>
      <c r="Y44" s="122"/>
    </row>
    <row r="45" spans="1:25" s="139" customFormat="1">
      <c r="A45" s="156"/>
      <c r="B45" s="125"/>
      <c r="C45" s="126" t="s">
        <v>144</v>
      </c>
      <c r="D45" s="145"/>
      <c r="E45" s="145" t="s">
        <v>6</v>
      </c>
      <c r="F45" s="145">
        <v>6733.8606354961657</v>
      </c>
      <c r="G45" s="145">
        <f>F45*D45</f>
        <v>0</v>
      </c>
      <c r="H45" s="122"/>
      <c r="I45" s="122"/>
      <c r="J45" s="122"/>
      <c r="K45" s="122"/>
      <c r="L45" s="122"/>
      <c r="M45" s="122"/>
      <c r="N45" s="122"/>
      <c r="O45" s="122"/>
      <c r="P45" s="122"/>
      <c r="Q45" s="122"/>
      <c r="R45" s="122"/>
      <c r="S45" s="122"/>
      <c r="T45" s="122"/>
      <c r="U45" s="122"/>
      <c r="V45" s="122"/>
      <c r="W45" s="122"/>
      <c r="X45" s="122"/>
      <c r="Y45" s="122"/>
    </row>
    <row r="46" spans="1:25" s="139" customFormat="1" ht="42.75">
      <c r="A46" s="156"/>
      <c r="B46" s="125">
        <v>5</v>
      </c>
      <c r="C46" s="126" t="s">
        <v>145</v>
      </c>
      <c r="D46" s="145"/>
      <c r="E46" s="145"/>
      <c r="F46" s="145"/>
      <c r="G46" s="145"/>
      <c r="H46" s="122"/>
      <c r="I46" s="122"/>
      <c r="J46" s="122"/>
      <c r="K46" s="122"/>
      <c r="L46" s="122"/>
      <c r="M46" s="122"/>
      <c r="N46" s="122"/>
      <c r="O46" s="122"/>
      <c r="P46" s="122"/>
      <c r="Q46" s="122"/>
      <c r="R46" s="122"/>
      <c r="S46" s="122"/>
      <c r="T46" s="122"/>
      <c r="U46" s="122"/>
      <c r="V46" s="122"/>
      <c r="W46" s="122"/>
      <c r="X46" s="122"/>
      <c r="Y46" s="122"/>
    </row>
    <row r="47" spans="1:25" s="139" customFormat="1">
      <c r="A47" s="156"/>
      <c r="B47" s="125"/>
      <c r="C47" s="133" t="s">
        <v>146</v>
      </c>
      <c r="D47" s="145">
        <f>630+1260+490+325+333+1750+1623</f>
        <v>6411</v>
      </c>
      <c r="E47" s="145" t="s">
        <v>6</v>
      </c>
      <c r="F47" s="145">
        <v>7285.8483949228903</v>
      </c>
      <c r="G47" s="136">
        <f>D47*F47</f>
        <v>46709574.059850648</v>
      </c>
      <c r="H47" s="122"/>
      <c r="I47" s="122">
        <v>28</v>
      </c>
      <c r="J47" s="122"/>
      <c r="K47" s="122">
        <f>71.5+8.5</f>
        <v>80</v>
      </c>
      <c r="L47" s="122"/>
      <c r="M47" s="122"/>
      <c r="N47" s="122"/>
      <c r="O47" s="122"/>
      <c r="P47" s="122"/>
      <c r="Q47" s="122"/>
      <c r="R47" s="122"/>
      <c r="S47" s="130"/>
      <c r="T47" s="122"/>
      <c r="U47" s="122"/>
      <c r="V47" s="122"/>
      <c r="W47" s="122"/>
      <c r="X47" s="122"/>
      <c r="Y47" s="122"/>
    </row>
    <row r="48" spans="1:25" s="139" customFormat="1">
      <c r="A48" s="156"/>
      <c r="B48" s="125"/>
      <c r="C48" s="133" t="s">
        <v>147</v>
      </c>
      <c r="D48" s="145"/>
      <c r="E48" s="145" t="s">
        <v>6</v>
      </c>
      <c r="F48" s="145">
        <v>7442.5205295635496</v>
      </c>
      <c r="G48" s="136">
        <f t="shared" ref="G48:G51" si="6">D48*F48</f>
        <v>0</v>
      </c>
      <c r="H48" s="122"/>
      <c r="I48" s="122">
        <v>28</v>
      </c>
      <c r="J48" s="122"/>
      <c r="K48" s="122">
        <f t="shared" ref="K48:K67" si="7">71.5+8.5</f>
        <v>80</v>
      </c>
      <c r="L48" s="122"/>
      <c r="M48" s="122"/>
      <c r="N48" s="122"/>
      <c r="O48" s="122"/>
      <c r="P48" s="122"/>
      <c r="Q48" s="122"/>
      <c r="R48" s="122"/>
      <c r="S48" s="122"/>
      <c r="T48" s="122"/>
      <c r="U48" s="122"/>
      <c r="V48" s="122"/>
      <c r="W48" s="122"/>
      <c r="X48" s="122"/>
      <c r="Y48" s="122"/>
    </row>
    <row r="49" spans="1:25" s="139" customFormat="1">
      <c r="A49" s="156"/>
      <c r="B49" s="125"/>
      <c r="C49" s="133" t="s">
        <v>148</v>
      </c>
      <c r="D49" s="145"/>
      <c r="E49" s="145" t="s">
        <v>6</v>
      </c>
      <c r="F49" s="181">
        <v>7595.9612256065384</v>
      </c>
      <c r="G49" s="136">
        <f t="shared" si="6"/>
        <v>0</v>
      </c>
      <c r="H49" s="122"/>
      <c r="I49" s="122">
        <v>28</v>
      </c>
      <c r="J49" s="122"/>
      <c r="K49" s="122">
        <f t="shared" si="7"/>
        <v>80</v>
      </c>
      <c r="L49" s="122"/>
      <c r="M49" s="122"/>
      <c r="N49" s="122"/>
      <c r="O49" s="122"/>
      <c r="P49" s="122"/>
      <c r="Q49" s="122"/>
      <c r="R49" s="122"/>
      <c r="S49" s="122"/>
      <c r="T49" s="122"/>
      <c r="U49" s="122"/>
      <c r="V49" s="122"/>
      <c r="W49" s="122"/>
      <c r="X49" s="122"/>
      <c r="Y49" s="122"/>
    </row>
    <row r="50" spans="1:25" s="139" customFormat="1">
      <c r="A50" s="156"/>
      <c r="B50" s="125"/>
      <c r="C50" s="133" t="s">
        <v>149</v>
      </c>
      <c r="D50" s="145"/>
      <c r="E50" s="145" t="s">
        <v>6</v>
      </c>
      <c r="F50" s="145">
        <v>14450.319994474561</v>
      </c>
      <c r="G50" s="136">
        <f t="shared" si="6"/>
        <v>0</v>
      </c>
      <c r="H50" s="122"/>
      <c r="I50" s="122">
        <v>28</v>
      </c>
      <c r="J50" s="122"/>
      <c r="K50" s="122">
        <f t="shared" si="7"/>
        <v>80</v>
      </c>
      <c r="L50" s="122"/>
      <c r="M50" s="122"/>
      <c r="N50" s="122"/>
      <c r="O50" s="122"/>
      <c r="P50" s="122"/>
      <c r="Q50" s="122"/>
      <c r="R50" s="122"/>
      <c r="S50" s="130"/>
      <c r="T50" s="122"/>
      <c r="U50" s="122"/>
      <c r="V50" s="122"/>
      <c r="W50" s="122"/>
      <c r="X50" s="122"/>
      <c r="Y50" s="122"/>
    </row>
    <row r="51" spans="1:25" s="139" customFormat="1" ht="42.75">
      <c r="A51" s="156"/>
      <c r="B51" s="125">
        <v>6</v>
      </c>
      <c r="C51" s="126" t="s">
        <v>150</v>
      </c>
      <c r="D51" s="198">
        <f>978+111+111.6+121+354.6+121.5+87.4+225.3+65.8+122.1+74.5+65.3+121.4+25.6+66.8+21.5+24.85+32.25+25+15.75+10+10</f>
        <v>2791.2500000000005</v>
      </c>
      <c r="E51" s="145" t="s">
        <v>29</v>
      </c>
      <c r="F51" s="145">
        <v>75718.77</v>
      </c>
      <c r="G51" s="136">
        <f t="shared" si="6"/>
        <v>211350016.76250005</v>
      </c>
      <c r="H51" s="122"/>
      <c r="I51" s="122">
        <v>28</v>
      </c>
      <c r="J51" s="122"/>
      <c r="K51" s="122">
        <f t="shared" si="7"/>
        <v>80</v>
      </c>
      <c r="L51" s="122"/>
      <c r="M51" s="122"/>
      <c r="N51" s="122"/>
      <c r="O51" s="122"/>
      <c r="P51" s="122"/>
      <c r="Q51" s="122"/>
      <c r="R51" s="122"/>
      <c r="S51" s="122"/>
      <c r="T51" s="122"/>
      <c r="U51" s="122"/>
      <c r="V51" s="122"/>
      <c r="W51" s="122"/>
      <c r="X51" s="122"/>
      <c r="Y51" s="122"/>
    </row>
    <row r="52" spans="1:25" s="139" customFormat="1" ht="25.5">
      <c r="A52" s="159" t="s">
        <v>50</v>
      </c>
      <c r="B52" s="125" t="s">
        <v>166</v>
      </c>
      <c r="C52" s="140" t="s">
        <v>43</v>
      </c>
      <c r="D52" s="145"/>
      <c r="E52" s="145"/>
      <c r="F52" s="145"/>
      <c r="G52" s="145"/>
      <c r="H52" s="122"/>
      <c r="I52" s="122">
        <v>28</v>
      </c>
      <c r="J52" s="122"/>
      <c r="K52" s="122">
        <f t="shared" si="7"/>
        <v>80</v>
      </c>
      <c r="L52" s="122"/>
      <c r="M52" s="122"/>
      <c r="N52" s="122"/>
      <c r="O52" s="122"/>
      <c r="P52" s="122"/>
      <c r="Q52" s="122"/>
      <c r="R52" s="122"/>
      <c r="S52" s="122"/>
      <c r="T52" s="122"/>
      <c r="U52" s="122"/>
      <c r="V52" s="122"/>
      <c r="W52" s="122"/>
      <c r="X52" s="122"/>
      <c r="Y52" s="122"/>
    </row>
    <row r="53" spans="1:25" s="139" customFormat="1" ht="28.5">
      <c r="A53" s="159"/>
      <c r="B53" s="125">
        <v>1</v>
      </c>
      <c r="C53" s="126" t="s">
        <v>13</v>
      </c>
      <c r="D53" s="145"/>
      <c r="E53" s="145"/>
      <c r="F53" s="145"/>
      <c r="G53" s="145"/>
      <c r="H53" s="122"/>
      <c r="I53" s="122">
        <v>28</v>
      </c>
      <c r="J53" s="122"/>
      <c r="K53" s="122">
        <f t="shared" si="7"/>
        <v>80</v>
      </c>
      <c r="L53" s="122"/>
      <c r="M53" s="122"/>
      <c r="N53" s="122"/>
      <c r="O53" s="122"/>
      <c r="P53" s="122"/>
      <c r="Q53" s="122"/>
      <c r="R53" s="122"/>
      <c r="S53" s="122"/>
      <c r="T53" s="122"/>
      <c r="U53" s="122"/>
      <c r="V53" s="122"/>
      <c r="W53" s="122"/>
      <c r="X53" s="122"/>
      <c r="Y53" s="122"/>
    </row>
    <row r="54" spans="1:25" s="139" customFormat="1">
      <c r="A54" s="156"/>
      <c r="B54" s="125"/>
      <c r="C54" s="126" t="s">
        <v>11</v>
      </c>
      <c r="D54" s="145">
        <v>7379.4</v>
      </c>
      <c r="E54" s="145" t="s">
        <v>6</v>
      </c>
      <c r="F54" s="145">
        <v>22751</v>
      </c>
      <c r="G54" s="136">
        <f t="shared" ref="G54:G55" si="8">D54*F54</f>
        <v>167888729.40000001</v>
      </c>
      <c r="H54" s="122"/>
      <c r="I54" s="122">
        <v>28</v>
      </c>
      <c r="J54" s="122"/>
      <c r="K54" s="122">
        <f t="shared" si="7"/>
        <v>80</v>
      </c>
      <c r="L54" s="122"/>
      <c r="M54" s="122"/>
      <c r="N54" s="122"/>
      <c r="O54" s="122"/>
      <c r="P54" s="122"/>
      <c r="Q54" s="122"/>
      <c r="R54" s="122"/>
      <c r="S54" s="122"/>
      <c r="T54" s="122"/>
      <c r="U54" s="122"/>
      <c r="V54" s="122"/>
      <c r="W54" s="122"/>
      <c r="X54" s="122"/>
      <c r="Y54" s="122"/>
    </row>
    <row r="55" spans="1:25" s="139" customFormat="1" ht="42.75">
      <c r="A55" s="156"/>
      <c r="B55" s="125">
        <v>2</v>
      </c>
      <c r="C55" s="126" t="s">
        <v>138</v>
      </c>
      <c r="D55" s="145">
        <v>241.57</v>
      </c>
      <c r="E55" s="145" t="s">
        <v>6</v>
      </c>
      <c r="F55" s="145">
        <v>1076</v>
      </c>
      <c r="G55" s="136">
        <f t="shared" si="8"/>
        <v>259929.32</v>
      </c>
      <c r="H55" s="122"/>
      <c r="I55" s="122">
        <v>28</v>
      </c>
      <c r="J55" s="122"/>
      <c r="K55" s="122">
        <f t="shared" si="7"/>
        <v>80</v>
      </c>
      <c r="L55" s="122"/>
      <c r="M55" s="122"/>
      <c r="N55" s="122"/>
      <c r="O55" s="122"/>
      <c r="P55" s="122"/>
      <c r="Q55" s="122"/>
      <c r="R55" s="122"/>
      <c r="S55" s="122"/>
      <c r="T55" s="122"/>
      <c r="U55" s="122"/>
      <c r="V55" s="122"/>
      <c r="W55" s="122"/>
      <c r="X55" s="122"/>
      <c r="Y55" s="122"/>
    </row>
    <row r="56" spans="1:25" s="139" customFormat="1" ht="42.75">
      <c r="A56" s="156"/>
      <c r="B56" s="125">
        <v>3</v>
      </c>
      <c r="C56" s="126" t="s">
        <v>139</v>
      </c>
      <c r="D56" s="145"/>
      <c r="E56" s="145"/>
      <c r="F56" s="145"/>
      <c r="G56" s="145"/>
      <c r="H56" s="122"/>
      <c r="I56" s="122">
        <v>28</v>
      </c>
      <c r="J56" s="122"/>
      <c r="K56" s="122">
        <f t="shared" si="7"/>
        <v>80</v>
      </c>
      <c r="L56" s="122"/>
      <c r="M56" s="122"/>
      <c r="N56" s="122"/>
      <c r="O56" s="122"/>
      <c r="P56" s="122"/>
      <c r="Q56" s="122"/>
      <c r="R56" s="122"/>
      <c r="S56" s="122"/>
      <c r="T56" s="122"/>
      <c r="U56" s="122"/>
      <c r="V56" s="122"/>
      <c r="W56" s="122"/>
      <c r="X56" s="122"/>
      <c r="Y56" s="122"/>
    </row>
    <row r="57" spans="1:25" s="139" customFormat="1">
      <c r="A57" s="156"/>
      <c r="B57" s="125"/>
      <c r="C57" s="126" t="s">
        <v>151</v>
      </c>
      <c r="D57" s="145"/>
      <c r="E57" s="145" t="s">
        <v>6</v>
      </c>
      <c r="F57" s="145">
        <v>3131</v>
      </c>
      <c r="G57" s="136">
        <f t="shared" ref="G57:G58" si="9">D57*F57</f>
        <v>0</v>
      </c>
      <c r="H57" s="122"/>
      <c r="I57" s="122">
        <v>28</v>
      </c>
      <c r="J57" s="122"/>
      <c r="K57" s="122">
        <f t="shared" si="7"/>
        <v>80</v>
      </c>
      <c r="L57" s="122"/>
      <c r="M57" s="122"/>
      <c r="N57" s="122"/>
      <c r="O57" s="122"/>
      <c r="P57" s="122"/>
      <c r="Q57" s="122"/>
      <c r="R57" s="122"/>
      <c r="S57" s="122"/>
      <c r="T57" s="122"/>
      <c r="U57" s="122"/>
      <c r="V57" s="122"/>
      <c r="W57" s="122"/>
      <c r="X57" s="122"/>
      <c r="Y57" s="122"/>
    </row>
    <row r="58" spans="1:25" s="139" customFormat="1">
      <c r="A58" s="156"/>
      <c r="B58" s="125"/>
      <c r="C58" s="126" t="s">
        <v>152</v>
      </c>
      <c r="D58" s="196">
        <f>2832.97+230</f>
        <v>3062.97</v>
      </c>
      <c r="E58" s="145" t="s">
        <v>6</v>
      </c>
      <c r="F58" s="145">
        <v>5985</v>
      </c>
      <c r="G58" s="136">
        <f t="shared" si="9"/>
        <v>18331875.449999999</v>
      </c>
      <c r="H58" s="122"/>
      <c r="I58" s="122">
        <v>28</v>
      </c>
      <c r="J58" s="122"/>
      <c r="K58" s="122">
        <f t="shared" si="7"/>
        <v>80</v>
      </c>
      <c r="L58" s="122"/>
      <c r="M58" s="122"/>
      <c r="N58" s="122"/>
      <c r="O58" s="122"/>
      <c r="P58" s="122"/>
      <c r="Q58" s="122"/>
      <c r="R58" s="122"/>
      <c r="S58" s="122"/>
      <c r="T58" s="122"/>
      <c r="U58" s="122"/>
      <c r="V58" s="122"/>
      <c r="W58" s="122"/>
      <c r="X58" s="122"/>
      <c r="Y58" s="122"/>
    </row>
    <row r="59" spans="1:25" s="139" customFormat="1" ht="42.75">
      <c r="A59" s="156"/>
      <c r="B59" s="125">
        <v>4</v>
      </c>
      <c r="C59" s="126" t="s">
        <v>153</v>
      </c>
      <c r="D59" s="145"/>
      <c r="E59" s="145"/>
      <c r="F59" s="145"/>
      <c r="G59" s="145"/>
      <c r="H59" s="122"/>
      <c r="I59" s="122">
        <v>28</v>
      </c>
      <c r="J59" s="122"/>
      <c r="K59" s="122">
        <f t="shared" si="7"/>
        <v>80</v>
      </c>
      <c r="L59" s="122"/>
      <c r="M59" s="122"/>
      <c r="N59" s="122"/>
      <c r="O59" s="122"/>
      <c r="P59" s="122"/>
      <c r="Q59" s="122"/>
      <c r="R59" s="122"/>
      <c r="S59" s="122"/>
      <c r="T59" s="122"/>
      <c r="U59" s="122"/>
      <c r="V59" s="122"/>
      <c r="W59" s="122"/>
      <c r="X59" s="122"/>
      <c r="Y59" s="122"/>
    </row>
    <row r="60" spans="1:25" s="139" customFormat="1">
      <c r="A60" s="156"/>
      <c r="B60" s="125"/>
      <c r="C60" s="126" t="s">
        <v>154</v>
      </c>
      <c r="D60" s="145"/>
      <c r="E60" s="145" t="s">
        <v>6</v>
      </c>
      <c r="F60" s="145">
        <v>6577.18850085551</v>
      </c>
      <c r="G60" s="136">
        <f t="shared" ref="G60:G61" si="10">D60*F60</f>
        <v>0</v>
      </c>
      <c r="H60" s="122"/>
      <c r="I60" s="122">
        <v>28</v>
      </c>
      <c r="J60" s="122"/>
      <c r="K60" s="122">
        <f t="shared" si="7"/>
        <v>80</v>
      </c>
      <c r="L60" s="122"/>
      <c r="M60" s="122"/>
      <c r="N60" s="122"/>
      <c r="O60" s="122"/>
      <c r="P60" s="122"/>
      <c r="Q60" s="122"/>
      <c r="R60" s="122"/>
      <c r="S60" s="122"/>
      <c r="T60" s="122"/>
      <c r="U60" s="122"/>
      <c r="V60" s="122"/>
      <c r="W60" s="122"/>
      <c r="X60" s="122"/>
      <c r="Y60" s="122"/>
    </row>
    <row r="61" spans="1:25" s="139" customFormat="1">
      <c r="A61" s="156"/>
      <c r="B61" s="125"/>
      <c r="C61" s="126" t="s">
        <v>155</v>
      </c>
      <c r="D61" s="145">
        <v>1307.76</v>
      </c>
      <c r="E61" s="145" t="s">
        <v>6</v>
      </c>
      <c r="F61" s="145">
        <v>6733.8606354961657</v>
      </c>
      <c r="G61" s="136">
        <f t="shared" si="10"/>
        <v>8806273.584676465</v>
      </c>
      <c r="H61" s="122"/>
      <c r="I61" s="122">
        <v>28</v>
      </c>
      <c r="J61" s="122"/>
      <c r="K61" s="122">
        <f t="shared" si="7"/>
        <v>80</v>
      </c>
      <c r="L61" s="122"/>
      <c r="M61" s="122"/>
      <c r="N61" s="122"/>
      <c r="O61" s="122"/>
      <c r="P61" s="122"/>
      <c r="Q61" s="122"/>
      <c r="R61" s="122"/>
      <c r="S61" s="122"/>
      <c r="T61" s="122"/>
      <c r="U61" s="122"/>
      <c r="V61" s="122"/>
      <c r="W61" s="122"/>
      <c r="X61" s="122"/>
      <c r="Y61" s="122"/>
    </row>
    <row r="62" spans="1:25" s="139" customFormat="1" ht="42.75">
      <c r="A62" s="156"/>
      <c r="B62" s="125">
        <v>5</v>
      </c>
      <c r="C62" s="126" t="s">
        <v>156</v>
      </c>
      <c r="D62" s="145"/>
      <c r="E62" s="145"/>
      <c r="F62" s="145"/>
      <c r="G62" s="145"/>
      <c r="H62" s="122"/>
      <c r="I62" s="122">
        <v>28</v>
      </c>
      <c r="J62" s="122"/>
      <c r="K62" s="122">
        <f t="shared" si="7"/>
        <v>80</v>
      </c>
      <c r="L62" s="122"/>
      <c r="M62" s="122"/>
      <c r="N62" s="122"/>
      <c r="O62" s="122"/>
      <c r="P62" s="122"/>
      <c r="Q62" s="130"/>
      <c r="R62" s="122"/>
      <c r="S62" s="122"/>
      <c r="T62" s="122"/>
      <c r="U62" s="122"/>
      <c r="V62" s="122"/>
      <c r="W62" s="122"/>
      <c r="X62" s="122"/>
      <c r="Y62" s="122"/>
    </row>
    <row r="63" spans="1:25" s="139" customFormat="1">
      <c r="A63" s="156"/>
      <c r="B63" s="125"/>
      <c r="C63" s="126" t="s">
        <v>146</v>
      </c>
      <c r="D63" s="145"/>
      <c r="E63" s="145" t="s">
        <v>6</v>
      </c>
      <c r="F63" s="145">
        <v>7285.8483949228903</v>
      </c>
      <c r="G63" s="136">
        <f t="shared" ref="G63:G67" si="11">D63*F63</f>
        <v>0</v>
      </c>
      <c r="H63" s="122"/>
      <c r="I63" s="122">
        <v>28</v>
      </c>
      <c r="J63" s="122"/>
      <c r="K63" s="122">
        <f t="shared" si="7"/>
        <v>80</v>
      </c>
      <c r="L63" s="122"/>
      <c r="M63" s="122"/>
      <c r="N63" s="122"/>
      <c r="O63" s="122"/>
      <c r="P63" s="122"/>
      <c r="Q63" s="122"/>
      <c r="R63" s="122"/>
      <c r="S63" s="122"/>
      <c r="T63" s="122"/>
      <c r="U63" s="122"/>
      <c r="V63" s="122"/>
      <c r="W63" s="122"/>
      <c r="X63" s="122"/>
      <c r="Y63" s="122"/>
    </row>
    <row r="64" spans="1:25" s="139" customFormat="1">
      <c r="A64" s="156"/>
      <c r="B64" s="125"/>
      <c r="C64" s="126" t="s">
        <v>147</v>
      </c>
      <c r="D64" s="145">
        <v>354.33</v>
      </c>
      <c r="E64" s="145" t="s">
        <v>6</v>
      </c>
      <c r="F64" s="145">
        <v>7442.5205295635469</v>
      </c>
      <c r="G64" s="136">
        <f t="shared" si="11"/>
        <v>2637108.2992402515</v>
      </c>
      <c r="H64" s="122"/>
      <c r="I64" s="122">
        <v>28</v>
      </c>
      <c r="J64" s="122"/>
      <c r="K64" s="122">
        <f t="shared" si="7"/>
        <v>80</v>
      </c>
      <c r="L64" s="122"/>
      <c r="M64" s="122"/>
      <c r="N64" s="122"/>
      <c r="O64" s="122"/>
      <c r="P64" s="122"/>
      <c r="Q64" s="122"/>
      <c r="R64" s="122"/>
      <c r="S64" s="122"/>
      <c r="T64" s="122"/>
      <c r="U64" s="122"/>
      <c r="V64" s="122"/>
      <c r="W64" s="122"/>
      <c r="X64" s="122"/>
      <c r="Y64" s="122"/>
    </row>
    <row r="65" spans="1:25" s="139" customFormat="1">
      <c r="A65" s="156"/>
      <c r="B65" s="125"/>
      <c r="C65" s="133" t="s">
        <v>148</v>
      </c>
      <c r="D65" s="145">
        <v>601</v>
      </c>
      <c r="E65" s="145" t="s">
        <v>6</v>
      </c>
      <c r="F65" s="181">
        <v>7595.9612256065384</v>
      </c>
      <c r="G65" s="136">
        <f t="shared" si="11"/>
        <v>4565172.6965895295</v>
      </c>
      <c r="H65" s="122"/>
      <c r="I65" s="122">
        <v>28</v>
      </c>
      <c r="J65" s="122"/>
      <c r="K65" s="122">
        <f t="shared" si="7"/>
        <v>80</v>
      </c>
      <c r="L65" s="122"/>
      <c r="M65" s="122"/>
      <c r="N65" s="122"/>
      <c r="O65" s="122"/>
      <c r="P65" s="122"/>
      <c r="Q65" s="122"/>
      <c r="R65" s="122"/>
      <c r="S65" s="122"/>
      <c r="T65" s="122"/>
      <c r="U65" s="122"/>
      <c r="V65" s="122"/>
      <c r="W65" s="122"/>
      <c r="X65" s="122"/>
      <c r="Y65" s="122"/>
    </row>
    <row r="66" spans="1:25" s="139" customFormat="1">
      <c r="A66" s="156"/>
      <c r="B66" s="125"/>
      <c r="C66" s="127" t="s">
        <v>157</v>
      </c>
      <c r="D66" s="145">
        <v>1202</v>
      </c>
      <c r="E66" s="145" t="s">
        <v>6</v>
      </c>
      <c r="F66" s="145">
        <v>14450.319994474561</v>
      </c>
      <c r="G66" s="136">
        <f t="shared" si="11"/>
        <v>17369284.633358423</v>
      </c>
      <c r="H66" s="122"/>
      <c r="I66" s="122">
        <v>28</v>
      </c>
      <c r="J66" s="122"/>
      <c r="K66" s="122">
        <f t="shared" si="7"/>
        <v>80</v>
      </c>
      <c r="L66" s="122"/>
      <c r="M66" s="122"/>
      <c r="N66" s="122"/>
      <c r="O66" s="122"/>
      <c r="P66" s="122"/>
      <c r="Q66" s="122"/>
      <c r="R66" s="122"/>
      <c r="S66" s="122"/>
      <c r="T66" s="122"/>
      <c r="U66" s="122"/>
      <c r="V66" s="122"/>
      <c r="W66" s="122"/>
      <c r="X66" s="122"/>
      <c r="Y66" s="122"/>
    </row>
    <row r="67" spans="1:25" s="139" customFormat="1" ht="42.75">
      <c r="A67" s="156"/>
      <c r="B67" s="125">
        <v>6</v>
      </c>
      <c r="C67" s="126" t="s">
        <v>177</v>
      </c>
      <c r="D67" s="198">
        <f>259.896+28</f>
        <v>287.89600000000002</v>
      </c>
      <c r="E67" s="145" t="s">
        <v>29</v>
      </c>
      <c r="F67" s="145">
        <f>F51</f>
        <v>75718.77</v>
      </c>
      <c r="G67" s="136">
        <f t="shared" si="11"/>
        <v>21799131.007920001</v>
      </c>
      <c r="H67" s="122"/>
      <c r="I67" s="122">
        <v>28</v>
      </c>
      <c r="J67" s="122"/>
      <c r="K67" s="122">
        <f t="shared" si="7"/>
        <v>80</v>
      </c>
      <c r="L67" s="122"/>
      <c r="M67" s="122"/>
      <c r="N67" s="122"/>
      <c r="O67" s="122"/>
      <c r="P67" s="122"/>
      <c r="Q67" s="122"/>
      <c r="R67" s="122"/>
      <c r="S67" s="122"/>
      <c r="T67" s="122"/>
      <c r="U67" s="122"/>
      <c r="V67" s="122"/>
      <c r="W67" s="122"/>
      <c r="X67" s="122"/>
      <c r="Y67" s="122"/>
    </row>
    <row r="68" spans="1:25" s="139" customFormat="1" ht="32.25" customHeight="1">
      <c r="A68" s="156"/>
      <c r="B68" s="168" t="s">
        <v>167</v>
      </c>
      <c r="C68" s="140" t="s">
        <v>115</v>
      </c>
      <c r="D68" s="186"/>
      <c r="E68" s="186"/>
      <c r="F68" s="183"/>
      <c r="G68" s="186"/>
      <c r="H68" s="142"/>
      <c r="I68" s="122"/>
      <c r="J68" s="122"/>
      <c r="K68" s="122"/>
      <c r="L68" s="122"/>
      <c r="M68" s="122"/>
      <c r="N68" s="122"/>
      <c r="O68" s="122"/>
      <c r="P68" s="122"/>
      <c r="Q68" s="122"/>
      <c r="R68" s="122"/>
      <c r="S68" s="122"/>
      <c r="T68" s="122"/>
      <c r="U68" s="122"/>
      <c r="V68" s="122"/>
      <c r="W68" s="122"/>
      <c r="X68" s="122"/>
      <c r="Y68" s="122"/>
    </row>
    <row r="69" spans="1:25" s="139" customFormat="1" ht="45.75" customHeight="1">
      <c r="A69" s="156"/>
      <c r="B69" s="144">
        <v>1</v>
      </c>
      <c r="C69" s="126" t="s">
        <v>158</v>
      </c>
      <c r="D69" s="186"/>
      <c r="E69" s="186"/>
      <c r="F69" s="186"/>
      <c r="G69" s="186"/>
      <c r="H69" s="142"/>
      <c r="I69" s="122"/>
      <c r="J69" s="122"/>
      <c r="K69" s="122"/>
      <c r="L69" s="122"/>
      <c r="M69" s="122"/>
      <c r="N69" s="122"/>
      <c r="O69" s="122"/>
      <c r="P69" s="122"/>
      <c r="Q69" s="122"/>
      <c r="R69" s="122"/>
      <c r="S69" s="122"/>
      <c r="T69" s="122"/>
      <c r="U69" s="122"/>
      <c r="V69" s="122"/>
      <c r="W69" s="122"/>
      <c r="X69" s="122"/>
      <c r="Y69" s="122"/>
    </row>
    <row r="70" spans="1:25" s="139" customFormat="1" ht="16.5" customHeight="1">
      <c r="A70" s="156"/>
      <c r="B70" s="143"/>
      <c r="C70" s="160" t="s">
        <v>55</v>
      </c>
      <c r="D70" s="145">
        <f>(245*2*1.5)+(148*2.5*2.5)+(140*2*3.5)+(165*2.5*1.75)+(112*2.5*2)+(525*2.5*1.75)+2150</f>
        <v>8368.75</v>
      </c>
      <c r="E70" s="145" t="s">
        <v>58</v>
      </c>
      <c r="F70" s="145">
        <v>96.906337141238524</v>
      </c>
      <c r="G70" s="136">
        <f t="shared" ref="G70:G73" si="12">D70*F70</f>
        <v>810984.90895073989</v>
      </c>
      <c r="H70" s="142"/>
      <c r="I70" s="122"/>
      <c r="J70" s="122"/>
      <c r="K70" s="122"/>
      <c r="L70" s="122"/>
      <c r="M70" s="122"/>
      <c r="N70" s="122"/>
      <c r="O70" s="122"/>
      <c r="P70" s="122"/>
      <c r="Q70" s="122"/>
      <c r="R70" s="122"/>
      <c r="S70" s="122"/>
      <c r="T70" s="122"/>
      <c r="U70" s="122"/>
      <c r="V70" s="122"/>
      <c r="W70" s="122"/>
      <c r="X70" s="122"/>
      <c r="Y70" s="122"/>
    </row>
    <row r="71" spans="1:25" s="139" customFormat="1" ht="16.5" customHeight="1">
      <c r="A71" s="156"/>
      <c r="B71" s="143"/>
      <c r="C71" s="160" t="s">
        <v>56</v>
      </c>
      <c r="D71" s="145">
        <f>198.5+24+63+14+12+11+231.5+150+235.485+11.265</f>
        <v>950.75</v>
      </c>
      <c r="E71" s="145" t="s">
        <v>58</v>
      </c>
      <c r="F71" s="145">
        <v>4576.9924799748396</v>
      </c>
      <c r="G71" s="136">
        <f t="shared" si="12"/>
        <v>4351575.6003360786</v>
      </c>
      <c r="H71" s="142"/>
      <c r="I71" s="122">
        <v>216</v>
      </c>
      <c r="J71" s="122"/>
      <c r="K71" s="122">
        <v>210</v>
      </c>
      <c r="L71" s="130">
        <f>D71+D72</f>
        <v>9313.6500000000015</v>
      </c>
      <c r="M71" s="130">
        <f>L71-'[2]Nov-2024'!$D$61-'[2]Nov-2024'!$D$62</f>
        <v>5048.6500000000015</v>
      </c>
      <c r="N71" s="122"/>
      <c r="O71" s="122"/>
      <c r="P71" s="122"/>
      <c r="Q71" s="122"/>
      <c r="R71" s="122"/>
      <c r="S71" s="122"/>
      <c r="T71" s="122"/>
      <c r="U71" s="122"/>
      <c r="V71" s="122"/>
      <c r="W71" s="122"/>
      <c r="X71" s="122"/>
      <c r="Y71" s="122"/>
    </row>
    <row r="72" spans="1:25" s="139" customFormat="1" ht="16.5" customHeight="1">
      <c r="A72" s="156"/>
      <c r="B72" s="143"/>
      <c r="C72" s="160" t="s">
        <v>57</v>
      </c>
      <c r="D72" s="145">
        <f>1675+1209+2669+650+1250.63+385.425+95.845+125+25+278</f>
        <v>8362.9000000000015</v>
      </c>
      <c r="E72" s="145" t="s">
        <v>58</v>
      </c>
      <c r="F72" s="145">
        <v>5868.5286067881307</v>
      </c>
      <c r="G72" s="136">
        <f t="shared" si="12"/>
        <v>49077917.885708466</v>
      </c>
      <c r="H72" s="142"/>
      <c r="I72" s="122"/>
      <c r="J72" s="122"/>
      <c r="K72" s="122">
        <f>2300+615</f>
        <v>2915</v>
      </c>
      <c r="L72" s="122"/>
      <c r="M72" s="122"/>
      <c r="N72" s="122"/>
      <c r="O72" s="122"/>
      <c r="P72" s="122"/>
      <c r="Q72" s="122"/>
      <c r="R72" s="122"/>
      <c r="S72" s="122"/>
      <c r="T72" s="122"/>
      <c r="U72" s="122"/>
      <c r="V72" s="122"/>
      <c r="W72" s="122"/>
      <c r="X72" s="122"/>
      <c r="Y72" s="122"/>
    </row>
    <row r="73" spans="1:25" s="139" customFormat="1" ht="16.5" customHeight="1">
      <c r="A73" s="156"/>
      <c r="B73" s="143"/>
      <c r="C73" s="173" t="s">
        <v>100</v>
      </c>
      <c r="D73" s="145">
        <f>141+125+12+11+22+12.5+27.45+3+12.75+27</f>
        <v>393.7</v>
      </c>
      <c r="E73" s="145" t="s">
        <v>29</v>
      </c>
      <c r="F73" s="180">
        <v>75718.769116112453</v>
      </c>
      <c r="G73" s="136">
        <f t="shared" si="12"/>
        <v>29810479.401013471</v>
      </c>
      <c r="H73" s="142"/>
      <c r="I73" s="122"/>
      <c r="J73" s="122"/>
      <c r="K73" s="122">
        <v>250</v>
      </c>
      <c r="L73" s="122"/>
      <c r="M73" s="122"/>
      <c r="N73" s="122"/>
      <c r="O73" s="122"/>
      <c r="P73" s="122"/>
      <c r="Q73" s="122"/>
      <c r="R73" s="122"/>
      <c r="S73" s="122"/>
      <c r="T73" s="122"/>
      <c r="U73" s="122"/>
      <c r="V73" s="122"/>
      <c r="W73" s="122"/>
      <c r="X73" s="122"/>
      <c r="Y73" s="122"/>
    </row>
    <row r="74" spans="1:25" s="139" customFormat="1" ht="16.5" customHeight="1">
      <c r="A74" s="156"/>
      <c r="B74" s="143"/>
      <c r="C74" s="173"/>
      <c r="D74" s="145"/>
      <c r="E74" s="145"/>
      <c r="F74" s="180"/>
      <c r="G74" s="145"/>
      <c r="H74" s="142"/>
      <c r="I74" s="122"/>
      <c r="J74" s="122"/>
      <c r="K74" s="122"/>
      <c r="L74" s="122"/>
      <c r="M74" s="122"/>
      <c r="N74" s="122">
        <f>245+148+140+165+112</f>
        <v>810</v>
      </c>
      <c r="O74" s="122"/>
      <c r="P74" s="122"/>
      <c r="Q74" s="122"/>
      <c r="R74" s="122"/>
      <c r="S74" s="122"/>
      <c r="T74" s="122"/>
      <c r="U74" s="122"/>
      <c r="V74" s="122"/>
      <c r="W74" s="122"/>
      <c r="X74" s="122"/>
      <c r="Y74" s="122"/>
    </row>
    <row r="75" spans="1:25" s="139" customFormat="1" ht="16.5" customHeight="1">
      <c r="A75" s="156"/>
      <c r="B75" s="141">
        <v>2</v>
      </c>
      <c r="C75" s="173" t="s">
        <v>112</v>
      </c>
      <c r="D75" s="196">
        <v>8513</v>
      </c>
      <c r="E75" s="145" t="s">
        <v>106</v>
      </c>
      <c r="F75" s="180">
        <v>5058</v>
      </c>
      <c r="G75" s="145">
        <f>D75*F75</f>
        <v>43058754</v>
      </c>
      <c r="H75" s="142"/>
      <c r="I75" s="122"/>
      <c r="J75" s="122"/>
      <c r="K75" s="122"/>
      <c r="L75" s="122"/>
      <c r="M75" s="122"/>
      <c r="N75" s="122"/>
      <c r="O75" s="122"/>
      <c r="P75" s="122"/>
      <c r="Q75" s="122"/>
      <c r="R75" s="122"/>
      <c r="S75" s="122"/>
      <c r="T75" s="122"/>
      <c r="U75" s="122"/>
      <c r="V75" s="122"/>
      <c r="W75" s="122"/>
      <c r="X75" s="122"/>
      <c r="Y75" s="122"/>
    </row>
    <row r="76" spans="1:25" s="139" customFormat="1" ht="16.5" customHeight="1">
      <c r="A76" s="156"/>
      <c r="B76" s="141">
        <v>3</v>
      </c>
      <c r="C76" s="173" t="s">
        <v>114</v>
      </c>
      <c r="D76" s="196">
        <v>13338</v>
      </c>
      <c r="E76" s="145" t="s">
        <v>106</v>
      </c>
      <c r="F76" s="180">
        <v>292</v>
      </c>
      <c r="G76" s="145">
        <f>D76*F76</f>
        <v>3894696</v>
      </c>
      <c r="H76" s="142"/>
      <c r="I76" s="122"/>
      <c r="J76" s="122"/>
      <c r="K76" s="122"/>
      <c r="L76" s="122"/>
      <c r="M76" s="122"/>
      <c r="N76" s="122"/>
      <c r="O76" s="122"/>
      <c r="P76" s="122"/>
      <c r="Q76" s="122"/>
      <c r="R76" s="122"/>
      <c r="S76" s="122"/>
      <c r="T76" s="122"/>
      <c r="U76" s="122"/>
      <c r="V76" s="122"/>
      <c r="W76" s="122"/>
      <c r="X76" s="122"/>
      <c r="Y76" s="122"/>
    </row>
    <row r="77" spans="1:25" s="139" customFormat="1" ht="16.5" customHeight="1">
      <c r="A77" s="156"/>
      <c r="B77" s="141">
        <v>4</v>
      </c>
      <c r="C77" s="173" t="s">
        <v>113</v>
      </c>
      <c r="D77" s="196">
        <v>6121</v>
      </c>
      <c r="E77" s="145" t="s">
        <v>110</v>
      </c>
      <c r="F77" s="180">
        <v>1855</v>
      </c>
      <c r="G77" s="145">
        <f>D77*F77</f>
        <v>11354455</v>
      </c>
      <c r="H77" s="142"/>
      <c r="I77" s="122"/>
      <c r="J77" s="122"/>
      <c r="K77" s="122"/>
      <c r="L77" s="122"/>
      <c r="M77" s="122"/>
      <c r="N77" s="122"/>
      <c r="O77" s="122"/>
      <c r="P77" s="122"/>
      <c r="Q77" s="122"/>
      <c r="R77" s="122"/>
      <c r="S77" s="122"/>
      <c r="T77" s="122"/>
      <c r="U77" s="122"/>
      <c r="V77" s="122"/>
      <c r="W77" s="122"/>
      <c r="X77" s="122"/>
      <c r="Y77" s="122"/>
    </row>
    <row r="78" spans="1:25" customFormat="1" ht="16.5" customHeight="1">
      <c r="B78" s="50">
        <f t="shared" ref="B78:B79" si="13">B77+1</f>
        <v>5</v>
      </c>
      <c r="C78" s="174" t="s">
        <v>168</v>
      </c>
      <c r="D78" s="197">
        <v>14573</v>
      </c>
      <c r="E78" s="167" t="s">
        <v>110</v>
      </c>
      <c r="F78" s="184">
        <v>2455.376488344793</v>
      </c>
      <c r="G78" s="163">
        <f t="shared" ref="G78:G82" si="14">D78*F78</f>
        <v>35782201.564648665</v>
      </c>
      <c r="H78" s="164">
        <f>10565+4008</f>
        <v>14573</v>
      </c>
      <c r="J78" s="165"/>
      <c r="K78" s="166">
        <v>8954</v>
      </c>
      <c r="L78" s="18">
        <f>K78-D78</f>
        <v>-5619</v>
      </c>
      <c r="M78" s="92"/>
    </row>
    <row r="79" spans="1:25" customFormat="1" ht="16.5" customHeight="1">
      <c r="B79" s="50">
        <f t="shared" si="13"/>
        <v>6</v>
      </c>
      <c r="C79" s="174" t="s">
        <v>169</v>
      </c>
      <c r="D79" s="187">
        <v>4.5</v>
      </c>
      <c r="E79" s="167" t="s">
        <v>110</v>
      </c>
      <c r="F79" s="184">
        <v>563.70000000000005</v>
      </c>
      <c r="G79" s="163">
        <f t="shared" si="14"/>
        <v>2536.65</v>
      </c>
      <c r="H79" s="164"/>
      <c r="J79" s="165"/>
      <c r="K79" s="166"/>
      <c r="L79" s="18"/>
      <c r="M79" s="92"/>
    </row>
    <row r="80" spans="1:25" ht="19.5" customHeight="1">
      <c r="B80" s="144">
        <v>5</v>
      </c>
      <c r="C80" s="175" t="s">
        <v>159</v>
      </c>
      <c r="D80" s="196">
        <v>17394</v>
      </c>
      <c r="E80" s="145" t="s">
        <v>110</v>
      </c>
      <c r="F80" s="180">
        <v>4067.0915659519201</v>
      </c>
      <c r="G80" s="145">
        <f t="shared" si="14"/>
        <v>70742990.698167697</v>
      </c>
      <c r="H80" s="146"/>
      <c r="I80" s="123"/>
      <c r="J80" s="147"/>
      <c r="K80" s="148"/>
      <c r="L80" s="149"/>
      <c r="M80" s="150"/>
      <c r="N80" s="123"/>
      <c r="O80" s="123"/>
      <c r="P80" s="123"/>
      <c r="Q80" s="123"/>
      <c r="R80" s="123"/>
      <c r="S80" s="123"/>
      <c r="T80" s="123"/>
      <c r="U80" s="123"/>
      <c r="V80" s="123"/>
      <c r="W80" s="123"/>
      <c r="X80" s="123"/>
      <c r="Y80" s="123"/>
    </row>
    <row r="81" spans="1:25" customFormat="1" ht="19.5" customHeight="1">
      <c r="B81" s="50">
        <f t="shared" ref="B81:B86" si="15">B80+1</f>
        <v>6</v>
      </c>
      <c r="C81" s="176" t="s">
        <v>170</v>
      </c>
      <c r="D81" s="197">
        <v>225</v>
      </c>
      <c r="E81" s="167" t="s">
        <v>110</v>
      </c>
      <c r="F81" s="184">
        <v>6687.4509303261993</v>
      </c>
      <c r="G81" s="167">
        <f t="shared" si="14"/>
        <v>1504676.4593233948</v>
      </c>
      <c r="H81" s="164"/>
      <c r="J81" s="165"/>
      <c r="K81" s="166"/>
      <c r="L81" s="18"/>
      <c r="M81" s="92"/>
    </row>
    <row r="82" spans="1:25" customFormat="1" ht="16.5" customHeight="1">
      <c r="B82" s="50">
        <f t="shared" si="15"/>
        <v>7</v>
      </c>
      <c r="C82" s="174" t="s">
        <v>171</v>
      </c>
      <c r="D82" s="167">
        <v>1450</v>
      </c>
      <c r="E82" s="167" t="s">
        <v>110</v>
      </c>
      <c r="F82" s="184">
        <v>1719.2848483742939</v>
      </c>
      <c r="G82" s="167">
        <f t="shared" si="14"/>
        <v>2492963.0301427264</v>
      </c>
      <c r="H82" s="164"/>
      <c r="J82" s="165"/>
      <c r="K82" s="166"/>
      <c r="L82" s="18"/>
      <c r="M82" s="92"/>
    </row>
    <row r="83" spans="1:25" customFormat="1" ht="16.5" customHeight="1">
      <c r="B83" s="50">
        <f t="shared" si="15"/>
        <v>8</v>
      </c>
      <c r="C83" s="177" t="s">
        <v>172</v>
      </c>
      <c r="D83" s="167">
        <v>1760</v>
      </c>
      <c r="E83" s="167" t="s">
        <v>110</v>
      </c>
      <c r="F83" s="184">
        <v>30811.29974206</v>
      </c>
      <c r="G83" s="167">
        <f>D83*F83</f>
        <v>54227887.546025604</v>
      </c>
      <c r="H83" s="164"/>
      <c r="J83" s="165"/>
      <c r="K83" s="166"/>
      <c r="L83" s="18"/>
      <c r="M83" s="92"/>
    </row>
    <row r="84" spans="1:25" customFormat="1" ht="15">
      <c r="B84" s="50">
        <f t="shared" si="15"/>
        <v>9</v>
      </c>
      <c r="C84" s="178" t="s">
        <v>173</v>
      </c>
      <c r="D84" s="167">
        <v>10000</v>
      </c>
      <c r="E84" s="167" t="s">
        <v>110</v>
      </c>
      <c r="F84" s="185">
        <v>1067.0159544860833</v>
      </c>
      <c r="G84" s="167">
        <f>D84*F84</f>
        <v>10670159.544860832</v>
      </c>
      <c r="H84" s="164"/>
      <c r="J84" s="165"/>
      <c r="K84" s="166"/>
      <c r="L84" s="18"/>
      <c r="M84" s="92"/>
    </row>
    <row r="85" spans="1:25" customFormat="1" ht="25.5">
      <c r="B85" s="50">
        <f t="shared" si="15"/>
        <v>10</v>
      </c>
      <c r="C85" s="179" t="s">
        <v>174</v>
      </c>
      <c r="D85" s="187">
        <v>4.5</v>
      </c>
      <c r="E85" s="167" t="s">
        <v>175</v>
      </c>
      <c r="F85" s="184">
        <v>82081</v>
      </c>
      <c r="G85" s="167">
        <f>D85*F85</f>
        <v>369364.5</v>
      </c>
      <c r="H85" s="164"/>
      <c r="J85" s="165"/>
      <c r="K85" s="166"/>
      <c r="L85" s="18"/>
      <c r="M85" s="92"/>
      <c r="O85">
        <f>44*40</f>
        <v>1760</v>
      </c>
    </row>
    <row r="86" spans="1:25" customFormat="1" ht="16.5" customHeight="1">
      <c r="B86" s="50">
        <f t="shared" si="15"/>
        <v>11</v>
      </c>
      <c r="C86" s="179" t="s">
        <v>178</v>
      </c>
      <c r="D86" s="197">
        <v>1260</v>
      </c>
      <c r="E86" s="167" t="s">
        <v>110</v>
      </c>
      <c r="F86" s="188">
        <v>51368.645178197097</v>
      </c>
      <c r="G86" s="167">
        <f>D86*F86</f>
        <v>64724492.924528345</v>
      </c>
      <c r="H86" s="164"/>
      <c r="J86" s="165"/>
      <c r="K86" s="166"/>
      <c r="L86" s="18"/>
      <c r="M86" s="92"/>
    </row>
    <row r="87" spans="1:25" s="139" customFormat="1" ht="17.25" customHeight="1">
      <c r="A87" s="156"/>
      <c r="B87" s="123"/>
      <c r="C87" s="123"/>
      <c r="D87" s="151"/>
      <c r="E87" s="151"/>
      <c r="F87" s="191">
        <f>G87/G88</f>
        <v>0.58122698118685845</v>
      </c>
      <c r="G87" s="153">
        <f>SUM(G4:G86)</f>
        <v>2680793205.3281474</v>
      </c>
      <c r="H87" s="122"/>
      <c r="I87" s="122"/>
      <c r="J87" s="122"/>
      <c r="K87" s="122"/>
      <c r="L87" s="122"/>
      <c r="M87" s="154">
        <v>0.20025294544225347</v>
      </c>
      <c r="N87" s="122"/>
      <c r="O87" s="122"/>
      <c r="P87" s="122"/>
      <c r="Q87" s="122"/>
      <c r="R87" s="122"/>
      <c r="S87" s="122"/>
      <c r="T87" s="122"/>
      <c r="U87" s="122"/>
      <c r="V87" s="122"/>
      <c r="W87" s="122"/>
      <c r="X87" s="122"/>
      <c r="Y87" s="122"/>
    </row>
    <row r="88" spans="1:25" s="139" customFormat="1" ht="17.25" customHeight="1">
      <c r="A88" s="156"/>
      <c r="B88" s="123"/>
      <c r="C88" s="123"/>
      <c r="D88" s="151"/>
      <c r="E88" s="151"/>
      <c r="F88" s="189">
        <v>1</v>
      </c>
      <c r="G88" s="155">
        <v>4612300000</v>
      </c>
      <c r="H88" s="122"/>
      <c r="I88" s="122"/>
      <c r="J88" s="122"/>
      <c r="K88" s="122"/>
      <c r="L88" s="122"/>
      <c r="M88" s="122"/>
      <c r="N88" s="122"/>
      <c r="O88" s="122"/>
      <c r="P88" s="122"/>
      <c r="Q88" s="122"/>
      <c r="R88" s="122"/>
      <c r="S88" s="122"/>
      <c r="T88" s="122"/>
      <c r="U88" s="122"/>
      <c r="V88" s="122"/>
      <c r="W88" s="122"/>
      <c r="X88" s="122"/>
      <c r="Y88" s="122"/>
    </row>
    <row r="89" spans="1:25" s="193" customFormat="1" ht="26.25" hidden="1" customHeight="1">
      <c r="A89" s="192"/>
      <c r="D89" s="389" t="s">
        <v>179</v>
      </c>
      <c r="E89" s="389"/>
      <c r="F89" s="152">
        <v>0.53380000000000005</v>
      </c>
      <c r="H89" s="194"/>
      <c r="I89" s="194"/>
      <c r="J89" s="194"/>
      <c r="K89" s="194"/>
      <c r="L89" s="194"/>
      <c r="M89" s="194"/>
      <c r="N89" s="194"/>
      <c r="O89" s="194"/>
      <c r="P89" s="194"/>
      <c r="Q89" s="194"/>
      <c r="R89" s="194"/>
      <c r="S89" s="194"/>
      <c r="T89" s="194"/>
      <c r="U89" s="194"/>
      <c r="V89" s="194"/>
      <c r="W89" s="194"/>
      <c r="X89" s="194"/>
      <c r="Y89" s="194"/>
    </row>
    <row r="90" spans="1:25" s="193" customFormat="1" ht="26.25" hidden="1" customHeight="1">
      <c r="A90" s="192"/>
      <c r="D90" s="389" t="s">
        <v>180</v>
      </c>
      <c r="E90" s="389"/>
      <c r="F90" s="190">
        <f>F87-F89</f>
        <v>4.7426981186858397E-2</v>
      </c>
      <c r="H90" s="194"/>
      <c r="I90" s="194"/>
      <c r="J90" s="194"/>
      <c r="K90" s="194"/>
      <c r="L90" s="194"/>
      <c r="M90" s="194"/>
      <c r="N90" s="194"/>
      <c r="O90" s="194"/>
      <c r="P90" s="194"/>
      <c r="Q90" s="194"/>
      <c r="R90" s="194"/>
      <c r="S90" s="194"/>
      <c r="T90" s="194"/>
      <c r="U90" s="194"/>
      <c r="V90" s="194"/>
      <c r="W90" s="194"/>
      <c r="X90" s="194"/>
      <c r="Y90" s="194"/>
    </row>
    <row r="92" spans="1:25">
      <c r="F92" s="123">
        <v>58.030999999999999</v>
      </c>
    </row>
  </sheetData>
  <mergeCells count="4">
    <mergeCell ref="B1:G1"/>
    <mergeCell ref="A36:A37"/>
    <mergeCell ref="D89:E89"/>
    <mergeCell ref="D90:E90"/>
  </mergeCells>
  <pageMargins left="0.7" right="0.7" top="0.75" bottom="0.75" header="0.3" footer="0.3"/>
  <pageSetup paperSize="9" scale="61" orientation="portrait" r:id="rId1"/>
  <colBreaks count="1" manualBreakCount="1">
    <brk id="1" max="91" man="1"/>
  </colBreaks>
</worksheet>
</file>

<file path=xl/worksheets/sheet22.xml><?xml version="1.0" encoding="utf-8"?>
<worksheet xmlns="http://schemas.openxmlformats.org/spreadsheetml/2006/main" xmlns:r="http://schemas.openxmlformats.org/officeDocument/2006/relationships">
  <dimension ref="A1:T83"/>
  <sheetViews>
    <sheetView view="pageBreakPreview" zoomScale="85" zoomScaleSheetLayoutView="85" workbookViewId="0">
      <selection activeCell="E82" sqref="E82"/>
    </sheetView>
  </sheetViews>
  <sheetFormatPr defaultRowHeight="15"/>
  <cols>
    <col min="1" max="1" width="14.7109375" bestFit="1" customWidth="1"/>
    <col min="2" max="2" width="9.42578125" bestFit="1" customWidth="1"/>
    <col min="3" max="3" width="66.85546875" customWidth="1"/>
    <col min="4" max="4" width="12.28515625" customWidth="1"/>
    <col min="5" max="5" width="9.28515625" bestFit="1" customWidth="1"/>
    <col min="6" max="6" width="12.7109375" bestFit="1" customWidth="1"/>
    <col min="7" max="7" width="20.42578125" bestFit="1" customWidth="1"/>
    <col min="8" max="8" width="11.42578125" style="112" customWidth="1"/>
    <col min="9" max="11" width="10.7109375" style="112" hidden="1" customWidth="1"/>
    <col min="12" max="12" width="10.28515625" style="112" hidden="1" customWidth="1"/>
    <col min="13" max="13" width="9.28515625" style="112" hidden="1" customWidth="1"/>
    <col min="14" max="14" width="13.42578125" style="112" bestFit="1" customWidth="1"/>
    <col min="15" max="15" width="9.140625" style="112"/>
    <col min="16" max="16" width="10.7109375" style="112" bestFit="1" customWidth="1"/>
    <col min="17" max="20" width="9.140625" style="112"/>
  </cols>
  <sheetData>
    <row r="1" spans="2:14" ht="21">
      <c r="B1" s="390" t="s">
        <v>125</v>
      </c>
      <c r="C1" s="391"/>
      <c r="D1" s="391"/>
      <c r="E1" s="391"/>
      <c r="F1" s="391"/>
      <c r="G1" s="392"/>
    </row>
    <row r="2" spans="2:14" ht="18.75">
      <c r="B2" s="71" t="s">
        <v>14</v>
      </c>
      <c r="C2" s="71" t="s">
        <v>12</v>
      </c>
      <c r="D2" s="71" t="s">
        <v>1</v>
      </c>
      <c r="E2" s="71" t="s">
        <v>2</v>
      </c>
      <c r="F2" s="71" t="s">
        <v>16</v>
      </c>
      <c r="G2" s="71" t="s">
        <v>3</v>
      </c>
    </row>
    <row r="3" spans="2:14">
      <c r="B3" s="7"/>
      <c r="C3" s="46" t="s">
        <v>118</v>
      </c>
      <c r="D3" s="6"/>
      <c r="E3" s="6"/>
      <c r="F3" s="6"/>
      <c r="G3" s="6"/>
    </row>
    <row r="4" spans="2:14" ht="30">
      <c r="B4" s="6">
        <v>1</v>
      </c>
      <c r="C4" s="2" t="s">
        <v>0</v>
      </c>
      <c r="D4" s="6">
        <f>73+3.85+11.025+0.175+1.96+3.4+2.695+3.55+1.4+5.7+2.06+0.49+5.63+0.35+2.5+3.28+8.15+0.007</f>
        <v>129.22199999999998</v>
      </c>
      <c r="E4" s="6" t="s">
        <v>4</v>
      </c>
      <c r="F4" s="74">
        <v>30811.3</v>
      </c>
      <c r="G4" s="75">
        <f>D4*F4</f>
        <v>3981497.8085999992</v>
      </c>
    </row>
    <row r="5" spans="2:14">
      <c r="B5" s="6"/>
      <c r="C5" s="40" t="s">
        <v>60</v>
      </c>
      <c r="D5" s="6"/>
      <c r="E5" s="72" t="s">
        <v>61</v>
      </c>
      <c r="F5" s="28">
        <v>412.23394137652696</v>
      </c>
      <c r="G5" s="75">
        <f t="shared" ref="G5:G8" si="0">D5*F5</f>
        <v>0</v>
      </c>
    </row>
    <row r="6" spans="2:14">
      <c r="B6" s="6"/>
      <c r="C6" s="40" t="s">
        <v>62</v>
      </c>
      <c r="D6" s="6"/>
      <c r="E6" s="72" t="s">
        <v>61</v>
      </c>
      <c r="F6" s="28">
        <v>599.22665705247732</v>
      </c>
      <c r="G6" s="75">
        <f t="shared" si="0"/>
        <v>0</v>
      </c>
    </row>
    <row r="7" spans="2:14">
      <c r="B7" s="6"/>
      <c r="C7" s="40" t="s">
        <v>63</v>
      </c>
      <c r="D7" s="6"/>
      <c r="E7" s="72" t="s">
        <v>61</v>
      </c>
      <c r="F7" s="28">
        <v>1213.752718114805</v>
      </c>
      <c r="G7" s="75">
        <f t="shared" si="0"/>
        <v>0</v>
      </c>
    </row>
    <row r="8" spans="2:14">
      <c r="B8" s="6"/>
      <c r="C8" s="42" t="s">
        <v>64</v>
      </c>
      <c r="D8" s="6"/>
      <c r="E8" s="73" t="s">
        <v>61</v>
      </c>
      <c r="F8" s="28">
        <v>2395.2066944310372</v>
      </c>
      <c r="G8" s="75">
        <f t="shared" si="0"/>
        <v>0</v>
      </c>
    </row>
    <row r="9" spans="2:14" ht="75">
      <c r="B9" s="6">
        <v>2</v>
      </c>
      <c r="C9" s="2" t="s">
        <v>7</v>
      </c>
      <c r="D9" s="6"/>
      <c r="E9" s="6"/>
      <c r="F9" s="6"/>
      <c r="G9" s="75"/>
    </row>
    <row r="10" spans="2:14">
      <c r="B10" s="6"/>
      <c r="C10" s="1" t="s">
        <v>5</v>
      </c>
      <c r="D10" s="85">
        <f>451615+35000+118721.5+123043+36165+24201+373343+145166+98210+68110+34059+58305+65065+45690+49947+25468+246706-28300+187599+189268+19500+15745+53430+67617+70393+44620+48735-21524.3+225148</f>
        <v>2871045.2</v>
      </c>
      <c r="E10" s="6" t="s">
        <v>6</v>
      </c>
      <c r="F10" s="6">
        <v>90.23</v>
      </c>
      <c r="G10" s="75">
        <f t="shared" ref="G10:G11" si="1">D10*F10</f>
        <v>259054408.39600003</v>
      </c>
      <c r="I10" s="113">
        <v>14853</v>
      </c>
      <c r="K10" s="112">
        <v>60648</v>
      </c>
    </row>
    <row r="11" spans="2:14" ht="90">
      <c r="B11" s="6"/>
      <c r="C11" s="64" t="s">
        <v>97</v>
      </c>
      <c r="D11" s="85">
        <f>309791+2254+28300+20262+21455+4150+21524.3+18457</f>
        <v>426193.3</v>
      </c>
      <c r="E11" s="6" t="s">
        <v>6</v>
      </c>
      <c r="F11" s="6">
        <v>308.11</v>
      </c>
      <c r="G11" s="75">
        <f t="shared" si="1"/>
        <v>131314417.663</v>
      </c>
      <c r="I11" s="113"/>
      <c r="J11" s="114"/>
      <c r="N11" s="113"/>
    </row>
    <row r="12" spans="2:14" ht="30">
      <c r="B12" s="6">
        <v>3</v>
      </c>
      <c r="C12" s="2" t="s">
        <v>9</v>
      </c>
      <c r="D12" s="85"/>
      <c r="E12" s="6"/>
      <c r="F12" s="6"/>
      <c r="G12" s="75"/>
      <c r="N12" s="114"/>
    </row>
    <row r="13" spans="2:14" ht="30">
      <c r="B13" s="6"/>
      <c r="C13" s="4" t="s">
        <v>8</v>
      </c>
      <c r="D13" s="85"/>
      <c r="E13" s="6"/>
      <c r="F13" s="6"/>
      <c r="G13" s="75"/>
    </row>
    <row r="14" spans="2:14">
      <c r="B14" s="6"/>
      <c r="C14" s="1" t="s">
        <v>10</v>
      </c>
      <c r="D14" s="85">
        <f>504480+79000+259382.35+112255.09+65531.025+80991.93+85622.67+15397.55+59540+69256+41670+60301+87875+21530+125240-22455+28453+19719+16390+17142+16475-15976+36795-19388+62089-42387+45549-30549</f>
        <v>1779929.615</v>
      </c>
      <c r="E14" s="6" t="s">
        <v>6</v>
      </c>
      <c r="F14" s="6">
        <v>96.91</v>
      </c>
      <c r="G14" s="75">
        <f t="shared" ref="G14:G15" si="2">D14*F14</f>
        <v>172492978.98964998</v>
      </c>
      <c r="H14" s="115"/>
      <c r="I14" s="113"/>
      <c r="J14" s="113"/>
      <c r="K14" s="113"/>
      <c r="N14" s="113"/>
    </row>
    <row r="15" spans="2:14">
      <c r="B15" s="6"/>
      <c r="C15" s="1" t="s">
        <v>38</v>
      </c>
      <c r="D15" s="85">
        <f>54904.65+54772.5+3320+22455+15976-6124+19355+42357+30549</f>
        <v>237565.15</v>
      </c>
      <c r="E15" s="6" t="s">
        <v>6</v>
      </c>
      <c r="F15" s="6">
        <v>249.23</v>
      </c>
      <c r="G15" s="75">
        <f t="shared" si="2"/>
        <v>59208362.334499992</v>
      </c>
      <c r="H15" s="115"/>
      <c r="I15" s="113"/>
      <c r="J15" s="113"/>
      <c r="K15" s="113"/>
    </row>
    <row r="16" spans="2:14" ht="25.5">
      <c r="B16" s="41">
        <v>4</v>
      </c>
      <c r="C16" s="42" t="s">
        <v>65</v>
      </c>
      <c r="D16" s="85"/>
      <c r="E16" s="6"/>
      <c r="F16" s="6"/>
      <c r="G16" s="75"/>
      <c r="H16" s="116"/>
      <c r="I16" s="113"/>
      <c r="J16" s="113"/>
    </row>
    <row r="17" spans="1:16">
      <c r="B17" s="41"/>
      <c r="C17" s="42" t="s">
        <v>94</v>
      </c>
      <c r="D17" s="85">
        <f>361490+6124+1754+2485+950</f>
        <v>372803</v>
      </c>
      <c r="E17" s="6" t="s">
        <v>6</v>
      </c>
      <c r="F17" s="77">
        <v>249.2337246708139</v>
      </c>
      <c r="G17" s="75">
        <f t="shared" ref="G17:G20" si="3">D17*F17</f>
        <v>92915080.258453429</v>
      </c>
      <c r="H17" s="112">
        <v>361139</v>
      </c>
      <c r="I17" s="113">
        <v>18786</v>
      </c>
      <c r="J17" s="113"/>
      <c r="K17" s="112">
        <v>19192</v>
      </c>
      <c r="L17" s="113"/>
      <c r="N17" s="113">
        <f>2109700-D17</f>
        <v>1736897</v>
      </c>
    </row>
    <row r="18" spans="1:16" ht="25.5">
      <c r="B18" s="6">
        <v>5</v>
      </c>
      <c r="C18" s="40" t="s">
        <v>107</v>
      </c>
      <c r="D18" s="85">
        <f>46242.975+1125+6056+6287.6+955.7+1435+64+122.4+806+426+832+720+755</f>
        <v>65827.674999999988</v>
      </c>
      <c r="E18" s="6" t="s">
        <v>6</v>
      </c>
      <c r="F18" s="77">
        <v>1078.429300650386</v>
      </c>
      <c r="G18" s="75">
        <f t="shared" si="3"/>
        <v>70990493.513690889</v>
      </c>
      <c r="I18" s="113">
        <f>32105+15173</f>
        <v>47278</v>
      </c>
      <c r="J18" s="113"/>
      <c r="K18" s="112">
        <v>5943</v>
      </c>
    </row>
    <row r="19" spans="1:16" ht="25.5">
      <c r="B19" s="6"/>
      <c r="C19" s="40" t="s">
        <v>98</v>
      </c>
      <c r="D19" s="85">
        <f>12603+8072.225+1245+1478+5433.23+3054.76+1685+284.5+669.2+1150.2+2298.92+177.3</f>
        <v>38151.334999999992</v>
      </c>
      <c r="E19" s="6" t="s">
        <v>6</v>
      </c>
      <c r="F19" s="77">
        <v>1605.2049429494912</v>
      </c>
      <c r="G19" s="75">
        <f t="shared" si="3"/>
        <v>61240711.522121914</v>
      </c>
      <c r="H19" s="116"/>
      <c r="I19" s="113">
        <v>10591</v>
      </c>
      <c r="J19" s="113"/>
      <c r="K19" s="113">
        <v>1225</v>
      </c>
      <c r="N19" s="112">
        <v>11904.000000000002</v>
      </c>
    </row>
    <row r="20" spans="1:16" ht="38.25">
      <c r="B20" s="6"/>
      <c r="C20" s="40" t="s">
        <v>101</v>
      </c>
      <c r="D20" s="85">
        <f>3883.75+1265+1123+3525.25+2211.8+705+406.3+621.4+143.4+1040.73</f>
        <v>14925.629999999997</v>
      </c>
      <c r="E20" s="6" t="s">
        <v>6</v>
      </c>
      <c r="F20" s="77">
        <v>1137.1086840767043</v>
      </c>
      <c r="G20" s="75">
        <f t="shared" si="3"/>
        <v>16972063.488315776</v>
      </c>
      <c r="H20" s="116"/>
      <c r="I20" s="113"/>
      <c r="J20" s="113"/>
      <c r="K20" s="113">
        <v>952</v>
      </c>
      <c r="N20" s="112">
        <v>8072.2249999999976</v>
      </c>
    </row>
    <row r="21" spans="1:16">
      <c r="B21" s="107"/>
      <c r="C21" s="108" t="s">
        <v>124</v>
      </c>
      <c r="D21" s="109">
        <f>4408.73+1976.86</f>
        <v>6385.5899999999992</v>
      </c>
      <c r="E21" s="107" t="s">
        <v>6</v>
      </c>
      <c r="F21" s="110"/>
      <c r="G21" s="111"/>
      <c r="H21" s="116"/>
      <c r="I21" s="113"/>
      <c r="J21" s="113"/>
      <c r="K21" s="113"/>
    </row>
    <row r="22" spans="1:16" ht="15.75">
      <c r="B22" s="6"/>
      <c r="C22" s="68" t="s">
        <v>102</v>
      </c>
      <c r="D22" s="85"/>
      <c r="E22" s="6"/>
      <c r="F22" s="77"/>
      <c r="G22" s="75"/>
      <c r="H22" s="116"/>
      <c r="I22" s="113"/>
      <c r="J22" s="113"/>
      <c r="K22" s="113"/>
    </row>
    <row r="23" spans="1:16" ht="25.5">
      <c r="B23" s="6"/>
      <c r="C23" s="40" t="s">
        <v>103</v>
      </c>
      <c r="D23" s="85">
        <f>74356+10254+22040+13108+(1167*11.6)</f>
        <v>133295.20000000001</v>
      </c>
      <c r="E23" s="76" t="s">
        <v>106</v>
      </c>
      <c r="F23" s="77">
        <v>49.225000000000001</v>
      </c>
      <c r="G23" s="75">
        <f t="shared" ref="G23:G25" si="4">D23*F23</f>
        <v>6561456.2200000007</v>
      </c>
      <c r="H23" s="116">
        <v>30528</v>
      </c>
      <c r="I23" s="113"/>
      <c r="J23" s="113"/>
      <c r="K23" s="113"/>
    </row>
    <row r="24" spans="1:16" ht="38.25">
      <c r="B24" s="6"/>
      <c r="C24" s="40" t="s">
        <v>104</v>
      </c>
      <c r="D24" s="85">
        <f>74356+10254+11136+15080+2151+(1167*11.6)</f>
        <v>126514.2</v>
      </c>
      <c r="E24" s="76" t="s">
        <v>106</v>
      </c>
      <c r="F24" s="77">
        <v>13.65</v>
      </c>
      <c r="G24" s="75">
        <f t="shared" si="4"/>
        <v>1726918.83</v>
      </c>
      <c r="H24" s="116"/>
      <c r="I24" s="113"/>
      <c r="J24" s="113"/>
      <c r="K24" s="113"/>
    </row>
    <row r="25" spans="1:16" ht="38.25">
      <c r="B25" s="6"/>
      <c r="C25" s="40" t="s">
        <v>105</v>
      </c>
      <c r="D25" s="85">
        <f>4207+125+141+1726.08+2506.51+882+195+404+234.3+660+125.3</f>
        <v>11206.189999999999</v>
      </c>
      <c r="E25" s="76" t="s">
        <v>6</v>
      </c>
      <c r="F25" s="77">
        <v>9856.7824970557394</v>
      </c>
      <c r="G25" s="75">
        <f t="shared" si="4"/>
        <v>110456977.45068105</v>
      </c>
      <c r="H25" s="116"/>
      <c r="I25" s="113"/>
      <c r="J25" s="113"/>
      <c r="K25" s="113"/>
    </row>
    <row r="26" spans="1:16" ht="15.75">
      <c r="A26" s="56" t="s">
        <v>49</v>
      </c>
      <c r="B26" s="6"/>
      <c r="C26" s="47" t="s">
        <v>22</v>
      </c>
      <c r="D26" s="86"/>
      <c r="E26" s="6"/>
      <c r="F26" s="6"/>
      <c r="G26" s="78"/>
    </row>
    <row r="27" spans="1:16" ht="30">
      <c r="B27" s="6">
        <v>6</v>
      </c>
      <c r="C27" s="43" t="s">
        <v>13</v>
      </c>
      <c r="D27" s="6"/>
      <c r="E27" s="6"/>
      <c r="F27" s="6"/>
      <c r="G27" s="6"/>
    </row>
    <row r="28" spans="1:16">
      <c r="B28" s="1"/>
      <c r="C28" s="2" t="s">
        <v>11</v>
      </c>
      <c r="D28" s="85">
        <f>850+200+202.5+309+1476+700+1629.08+1644.5+168+222+401.45+252+458.8+2833.1+9285.836-4900+487.2+329.18+518.45+568.82+569.66+209.3+243.5+450+336.3+181.7+234.03+1463+2374+254+1748+1245+845</f>
        <v>27789.405999999999</v>
      </c>
      <c r="E28" s="6" t="s">
        <v>6</v>
      </c>
      <c r="F28" s="6">
        <v>96.91</v>
      </c>
      <c r="G28" s="75">
        <f t="shared" ref="G28:G31" si="5">D28*F28</f>
        <v>2693071.3354599997</v>
      </c>
      <c r="I28" s="113"/>
    </row>
    <row r="29" spans="1:16" ht="45">
      <c r="B29" s="1"/>
      <c r="C29" s="2" t="s">
        <v>68</v>
      </c>
      <c r="D29" s="87">
        <f>205+68+194+108.5+74.1+136.85+24+233+235.3+54.5+68+7+6+112+368.5+250+58.75+120</f>
        <v>2323.5</v>
      </c>
      <c r="E29" s="6" t="s">
        <v>6</v>
      </c>
      <c r="F29" s="6">
        <v>4576.99</v>
      </c>
      <c r="G29" s="75">
        <f t="shared" si="5"/>
        <v>10634636.264999999</v>
      </c>
      <c r="I29" s="112">
        <v>65</v>
      </c>
      <c r="K29" s="112">
        <f>47+24</f>
        <v>71</v>
      </c>
      <c r="P29" s="117"/>
    </row>
    <row r="30" spans="1:16" ht="45">
      <c r="B30" s="1"/>
      <c r="C30" s="2" t="s">
        <v>73</v>
      </c>
      <c r="D30" s="85">
        <f>30.11+32+39+96.57+80+2768.53+265.2+1585.8+1488.05+2658.45+428.5+2551.56+2592.34+574+214+41.218+69.393</f>
        <v>15514.721</v>
      </c>
      <c r="E30" s="6" t="s">
        <v>6</v>
      </c>
      <c r="F30" s="6">
        <v>5868.53</v>
      </c>
      <c r="G30" s="75">
        <f t="shared" si="5"/>
        <v>91048605.630129993</v>
      </c>
      <c r="I30" s="112">
        <v>726</v>
      </c>
      <c r="K30" s="112">
        <f>490+431</f>
        <v>921</v>
      </c>
      <c r="N30" s="112">
        <f>368.5-31.5</f>
        <v>337</v>
      </c>
      <c r="P30" s="117"/>
    </row>
    <row r="31" spans="1:16" ht="45">
      <c r="B31" s="1"/>
      <c r="C31" s="2" t="s">
        <v>74</v>
      </c>
      <c r="D31" s="85">
        <f>168+138.041+124.151+3.886+3.594+0.536+1.14+9.255+2.227+2.382+12.457+35.72+5.551+16.04+35.819+7.862+4.444+31.304+25.001+2.619+3.385+0.119+5.72+10.328+24.446+213.827+5.759+0.9+4.2+7.656+13.888+6.093+8.113+7.436+36.812+29.308+2.046+1.554+1.706+9.883+2.25+5.808+21.855+6.382+4.499+204.199+1364+478+14+78+121+54.322876+121.6+91.25+10.49+35+48+30.949+44.486+2.221+9.196+4.895+28.615+45.845</f>
        <v>3850.0708759999993</v>
      </c>
      <c r="E31" s="6" t="s">
        <v>29</v>
      </c>
      <c r="F31" s="6">
        <v>75718.77</v>
      </c>
      <c r="G31" s="75">
        <f t="shared" si="5"/>
        <v>291522631.14354247</v>
      </c>
      <c r="H31" s="117"/>
      <c r="K31" s="113">
        <v>250</v>
      </c>
    </row>
    <row r="32" spans="1:16" ht="38.25">
      <c r="B32" s="1"/>
      <c r="C32" s="27" t="s">
        <v>71</v>
      </c>
      <c r="D32" s="85"/>
      <c r="E32" s="6"/>
      <c r="F32" s="6"/>
      <c r="G32" s="78"/>
    </row>
    <row r="33" spans="1:19">
      <c r="B33" s="1"/>
      <c r="C33" s="27" t="s">
        <v>70</v>
      </c>
      <c r="D33" s="85">
        <f>2551.56+2592.34+1380.7+65.8+744+125+65.8+33.6+87.5+1861.5+146.3+1245+152+75+255.343-90+111.129+125.389+152.25+735</f>
        <v>12415.210999999999</v>
      </c>
      <c r="E33" s="6" t="s">
        <v>6</v>
      </c>
      <c r="F33" s="28">
        <v>7285.8483949228903</v>
      </c>
      <c r="G33" s="75">
        <f>D33*F33</f>
        <v>90455345.136979014</v>
      </c>
      <c r="I33" s="112">
        <v>375</v>
      </c>
      <c r="K33" s="112">
        <f>200+147</f>
        <v>347</v>
      </c>
    </row>
    <row r="34" spans="1:19" ht="18.75">
      <c r="A34" s="381" t="s">
        <v>93</v>
      </c>
      <c r="B34" s="6"/>
      <c r="C34" s="48" t="s">
        <v>26</v>
      </c>
      <c r="D34" s="86"/>
      <c r="E34" s="6"/>
      <c r="F34" s="6"/>
      <c r="G34" s="78"/>
    </row>
    <row r="35" spans="1:19" ht="30">
      <c r="A35" s="381"/>
      <c r="B35" s="6">
        <v>7</v>
      </c>
      <c r="C35" s="2" t="s">
        <v>13</v>
      </c>
      <c r="D35" s="6"/>
      <c r="E35" s="6"/>
      <c r="F35" s="6"/>
      <c r="G35" s="6"/>
    </row>
    <row r="36" spans="1:19" ht="15" customHeight="1">
      <c r="A36" s="57"/>
      <c r="B36" s="1"/>
      <c r="C36" s="2" t="s">
        <v>11</v>
      </c>
      <c r="D36" s="86">
        <f>6027+1895.4+5745+325+647+1288+3575</f>
        <v>19502.400000000001</v>
      </c>
      <c r="E36" s="6" t="s">
        <v>6</v>
      </c>
      <c r="F36" s="6">
        <v>112.79</v>
      </c>
      <c r="G36" s="75">
        <f>D36*F36</f>
        <v>2199675.6960000005</v>
      </c>
      <c r="L36" s="113"/>
    </row>
    <row r="37" spans="1:19" ht="45">
      <c r="B37" s="1"/>
      <c r="C37" s="2" t="s">
        <v>75</v>
      </c>
      <c r="D37" s="86">
        <f>191+213+135+69.5+44.5+33.7+10+64.5+68.5+25</f>
        <v>854.7</v>
      </c>
      <c r="E37" s="6" t="s">
        <v>6</v>
      </c>
      <c r="F37" s="6">
        <v>4576.99</v>
      </c>
      <c r="G37" s="75">
        <f>D37*F37</f>
        <v>3911953.3530000001</v>
      </c>
      <c r="I37" s="112">
        <v>187</v>
      </c>
      <c r="K37" s="112">
        <f>197+45</f>
        <v>242</v>
      </c>
      <c r="M37" s="113">
        <f>D37+D39+D40+D42+D43+D45+D46+D48</f>
        <v>18916.900000000001</v>
      </c>
    </row>
    <row r="38" spans="1:19" ht="45">
      <c r="B38" s="1"/>
      <c r="C38" s="2" t="s">
        <v>76</v>
      </c>
      <c r="D38" s="86"/>
      <c r="E38" s="6"/>
      <c r="F38" s="6"/>
      <c r="G38" s="78"/>
      <c r="M38" s="113">
        <f>M37-'[2]Nov-2024'!$L$32</f>
        <v>5301.9000000000015</v>
      </c>
    </row>
    <row r="39" spans="1:19">
      <c r="B39" s="1"/>
      <c r="C39" s="2" t="s">
        <v>77</v>
      </c>
      <c r="D39" s="86">
        <f>121+344+4812</f>
        <v>5277</v>
      </c>
      <c r="E39" s="6" t="s">
        <v>6</v>
      </c>
      <c r="F39" s="6">
        <v>5868.53</v>
      </c>
      <c r="G39" s="75">
        <f>D39*F39</f>
        <v>30968232.809999999</v>
      </c>
      <c r="H39" s="118">
        <f>241+120+513.5+542.83+1058.75+1184.8+534.3+177+639.2+2098.5+1680.5</f>
        <v>8790.380000000001</v>
      </c>
      <c r="I39" s="112">
        <v>226</v>
      </c>
      <c r="K39" s="112">
        <f>191+62</f>
        <v>253</v>
      </c>
      <c r="N39" s="112">
        <f>4794</f>
        <v>4794</v>
      </c>
      <c r="O39" s="113">
        <f>H39-N39</f>
        <v>3996.380000000001</v>
      </c>
    </row>
    <row r="40" spans="1:19">
      <c r="B40" s="1"/>
      <c r="C40" s="2" t="s">
        <v>78</v>
      </c>
      <c r="D40" s="86"/>
      <c r="E40" s="6" t="s">
        <v>6</v>
      </c>
      <c r="F40" s="6">
        <v>6025.2</v>
      </c>
      <c r="G40" s="78">
        <f>D40*F40</f>
        <v>0</v>
      </c>
      <c r="H40" s="118">
        <f>16*45+193+200.5+74+322.5+221.7+251.5+57.5+179+39.5+192.5</f>
        <v>2451.6999999999998</v>
      </c>
      <c r="I40" s="112">
        <v>24</v>
      </c>
      <c r="K40" s="112">
        <f>714+234</f>
        <v>948</v>
      </c>
    </row>
    <row r="41" spans="1:19" ht="45">
      <c r="B41" s="1"/>
      <c r="C41" s="2" t="s">
        <v>79</v>
      </c>
      <c r="D41" s="86"/>
      <c r="E41" s="6"/>
      <c r="F41" s="6"/>
      <c r="G41" s="78"/>
    </row>
    <row r="42" spans="1:19">
      <c r="B42" s="1"/>
      <c r="C42" s="2" t="s">
        <v>80</v>
      </c>
      <c r="D42" s="86">
        <f>4416+488.2+1345+125</f>
        <v>6374.2</v>
      </c>
      <c r="E42" s="6" t="s">
        <v>6</v>
      </c>
      <c r="F42" s="77">
        <v>6577.18850085551</v>
      </c>
      <c r="G42" s="75">
        <f>D42*F42</f>
        <v>41924314.942153193</v>
      </c>
      <c r="I42" s="112">
        <v>491</v>
      </c>
      <c r="K42" s="112">
        <f>433+48</f>
        <v>481</v>
      </c>
    </row>
    <row r="43" spans="1:19">
      <c r="B43" s="1"/>
      <c r="C43" s="2" t="s">
        <v>81</v>
      </c>
      <c r="D43" s="86"/>
      <c r="E43" s="6" t="s">
        <v>6</v>
      </c>
      <c r="F43" s="77">
        <v>6733.8606354961657</v>
      </c>
      <c r="G43" s="78">
        <f>F43*D43</f>
        <v>0</v>
      </c>
      <c r="I43" s="112">
        <v>349</v>
      </c>
      <c r="K43" s="112">
        <f>190+41</f>
        <v>231</v>
      </c>
    </row>
    <row r="44" spans="1:19" ht="45">
      <c r="B44" s="1"/>
      <c r="C44" s="2" t="s">
        <v>82</v>
      </c>
      <c r="D44" s="86"/>
      <c r="E44" s="6"/>
      <c r="F44" s="6"/>
      <c r="G44" s="78"/>
    </row>
    <row r="45" spans="1:19">
      <c r="B45" s="1"/>
      <c r="C45" s="4" t="s">
        <v>83</v>
      </c>
      <c r="D45" s="86">
        <f>630+1260+490+325+333+1750+1623</f>
        <v>6411</v>
      </c>
      <c r="E45" s="6" t="s">
        <v>6</v>
      </c>
      <c r="F45" s="77">
        <v>7285.8483949228903</v>
      </c>
      <c r="G45" s="75">
        <f>D45*F45</f>
        <v>46709574.059850648</v>
      </c>
      <c r="I45" s="112">
        <v>28</v>
      </c>
      <c r="K45" s="112">
        <f>71.5+8.5</f>
        <v>80</v>
      </c>
      <c r="S45" s="113"/>
    </row>
    <row r="46" spans="1:19">
      <c r="B46" s="1"/>
      <c r="C46" s="4" t="s">
        <v>84</v>
      </c>
      <c r="D46" s="86"/>
      <c r="E46" s="6" t="s">
        <v>6</v>
      </c>
      <c r="F46" s="77">
        <v>7442.5205295635469</v>
      </c>
      <c r="G46" s="75">
        <f t="shared" ref="G46:G49" si="6">D46*F46</f>
        <v>0</v>
      </c>
      <c r="I46" s="112">
        <v>420</v>
      </c>
      <c r="K46" s="112">
        <f>448+48</f>
        <v>496</v>
      </c>
    </row>
    <row r="47" spans="1:19">
      <c r="B47" s="1"/>
      <c r="C47" s="4" t="s">
        <v>108</v>
      </c>
      <c r="D47" s="86"/>
      <c r="E47" s="6" t="s">
        <v>6</v>
      </c>
      <c r="F47" s="28">
        <v>7595.9612256065384</v>
      </c>
      <c r="G47" s="75">
        <f t="shared" si="6"/>
        <v>0</v>
      </c>
    </row>
    <row r="48" spans="1:19">
      <c r="B48" s="1"/>
      <c r="C48" s="4" t="s">
        <v>85</v>
      </c>
      <c r="D48" s="86"/>
      <c r="E48" s="6" t="s">
        <v>6</v>
      </c>
      <c r="F48" s="77">
        <v>14450.319994474561</v>
      </c>
      <c r="G48" s="75">
        <f t="shared" si="6"/>
        <v>0</v>
      </c>
      <c r="I48" s="112">
        <v>331</v>
      </c>
      <c r="K48" s="112">
        <f>7+275</f>
        <v>282</v>
      </c>
      <c r="N48" s="117">
        <f>D48+D45+D43+D42+D39+D37+D33+D30+D29</f>
        <v>49170.332000000002</v>
      </c>
      <c r="S48" s="113"/>
    </row>
    <row r="49" spans="1:17" ht="45">
      <c r="B49" s="1"/>
      <c r="C49" s="2" t="s">
        <v>96</v>
      </c>
      <c r="D49" s="85">
        <f>978+111+111.6+121+354.6+121.5+87.4+225.3+65.8+122.1+74.5+65.3+121.4+25.6+66.8+21.5+24.85+32.25+25+15.75</f>
        <v>2771.2500000000005</v>
      </c>
      <c r="E49" s="6" t="s">
        <v>29</v>
      </c>
      <c r="F49" s="6">
        <v>75718.77</v>
      </c>
      <c r="G49" s="75">
        <f t="shared" si="6"/>
        <v>209835641.36250004</v>
      </c>
      <c r="H49" s="117"/>
      <c r="K49" s="112">
        <v>200</v>
      </c>
    </row>
    <row r="50" spans="1:17" ht="18.75">
      <c r="A50" s="58" t="s">
        <v>50</v>
      </c>
      <c r="B50" s="6"/>
      <c r="C50" s="49" t="s">
        <v>43</v>
      </c>
      <c r="D50" s="86"/>
      <c r="E50" s="6"/>
      <c r="F50" s="6"/>
      <c r="G50" s="78"/>
    </row>
    <row r="51" spans="1:17" ht="30">
      <c r="A51" s="58"/>
      <c r="B51" s="6">
        <v>8</v>
      </c>
      <c r="C51" s="2" t="s">
        <v>13</v>
      </c>
      <c r="D51" s="6"/>
      <c r="E51" s="6"/>
      <c r="F51" s="6"/>
      <c r="G51" s="6"/>
    </row>
    <row r="52" spans="1:17">
      <c r="B52" s="1"/>
      <c r="C52" s="2" t="s">
        <v>11</v>
      </c>
      <c r="D52" s="86">
        <f>1017.9+1346.5+1945+2087+351+632</f>
        <v>7379.4</v>
      </c>
      <c r="E52" s="6" t="s">
        <v>6</v>
      </c>
      <c r="F52" s="6">
        <v>22751</v>
      </c>
      <c r="G52" s="75">
        <f t="shared" ref="G52:G53" si="7">D52*F52</f>
        <v>167888729.40000001</v>
      </c>
      <c r="N52" s="112">
        <f>250*2*2.5</f>
        <v>1250</v>
      </c>
    </row>
    <row r="53" spans="1:17" ht="45">
      <c r="B53" s="1"/>
      <c r="C53" s="2" t="s">
        <v>75</v>
      </c>
      <c r="D53" s="93">
        <f>63.75+24.785+61.25+91.785</f>
        <v>241.57</v>
      </c>
      <c r="E53" s="6" t="s">
        <v>6</v>
      </c>
      <c r="F53" s="6">
        <v>1076</v>
      </c>
      <c r="G53" s="75">
        <f t="shared" si="7"/>
        <v>259929.32</v>
      </c>
      <c r="I53" s="112">
        <v>65</v>
      </c>
      <c r="K53" s="112">
        <f>70+16.8</f>
        <v>86.8</v>
      </c>
    </row>
    <row r="54" spans="1:17" ht="45">
      <c r="B54" s="1"/>
      <c r="C54" s="2" t="s">
        <v>76</v>
      </c>
      <c r="D54" s="86"/>
      <c r="E54" s="6"/>
      <c r="F54" s="6"/>
      <c r="G54" s="78"/>
      <c r="N54" s="112">
        <v>1949.5299999999997</v>
      </c>
    </row>
    <row r="55" spans="1:17">
      <c r="B55" s="1"/>
      <c r="C55" s="2" t="s">
        <v>86</v>
      </c>
      <c r="D55" s="86"/>
      <c r="E55" s="6" t="s">
        <v>6</v>
      </c>
      <c r="F55" s="6">
        <v>3131</v>
      </c>
      <c r="G55" s="75">
        <f t="shared" ref="G55:G56" si="8">D55*F55</f>
        <v>0</v>
      </c>
      <c r="N55" s="119">
        <f>N54-D56</f>
        <v>-883.44</v>
      </c>
    </row>
    <row r="56" spans="1:17">
      <c r="B56" s="1"/>
      <c r="C56" s="2" t="s">
        <v>87</v>
      </c>
      <c r="D56" s="86">
        <f>182.24+182.24+245.55+182.24+16*45+193+200.5+74+322.5+221.7+251.5+57.5</f>
        <v>2832.97</v>
      </c>
      <c r="E56" s="6" t="s">
        <v>6</v>
      </c>
      <c r="F56" s="6">
        <v>5985</v>
      </c>
      <c r="G56" s="75">
        <f t="shared" si="8"/>
        <v>16955325.449999999</v>
      </c>
      <c r="I56" s="112">
        <v>161</v>
      </c>
      <c r="K56" s="112">
        <v>160</v>
      </c>
      <c r="N56" s="113"/>
    </row>
    <row r="57" spans="1:17" ht="45">
      <c r="B57" s="1"/>
      <c r="C57" s="2" t="s">
        <v>88</v>
      </c>
      <c r="D57" s="86"/>
      <c r="E57" s="6"/>
      <c r="F57" s="6"/>
      <c r="G57" s="78"/>
    </row>
    <row r="58" spans="1:17">
      <c r="B58" s="1"/>
      <c r="C58" s="2" t="s">
        <v>89</v>
      </c>
      <c r="D58" s="86"/>
      <c r="E58" s="6" t="s">
        <v>6</v>
      </c>
      <c r="F58" s="77">
        <v>6577.18850085551</v>
      </c>
      <c r="G58" s="75">
        <f t="shared" ref="G58:G59" si="9">D58*F58</f>
        <v>0</v>
      </c>
      <c r="I58" s="112">
        <v>212</v>
      </c>
      <c r="K58" s="112">
        <f>150+26</f>
        <v>176</v>
      </c>
    </row>
    <row r="59" spans="1:17">
      <c r="B59" s="1"/>
      <c r="C59" s="2" t="s">
        <v>90</v>
      </c>
      <c r="D59" s="86">
        <f>1157.26+116.5</f>
        <v>1273.76</v>
      </c>
      <c r="E59" s="6" t="s">
        <v>6</v>
      </c>
      <c r="F59" s="77">
        <v>6733.8606354961657</v>
      </c>
      <c r="G59" s="75">
        <f t="shared" si="9"/>
        <v>8577322.3230695967</v>
      </c>
      <c r="I59" s="112">
        <v>46</v>
      </c>
      <c r="K59" s="112">
        <v>125</v>
      </c>
    </row>
    <row r="60" spans="1:17" ht="45">
      <c r="B60" s="1"/>
      <c r="C60" s="2" t="s">
        <v>91</v>
      </c>
      <c r="D60" s="86"/>
      <c r="E60" s="6"/>
      <c r="F60" s="6"/>
      <c r="G60" s="78"/>
      <c r="Q60" s="113"/>
    </row>
    <row r="61" spans="1:17">
      <c r="B61" s="1"/>
      <c r="C61" s="2" t="s">
        <v>83</v>
      </c>
      <c r="D61" s="86"/>
      <c r="E61" s="6" t="s">
        <v>6</v>
      </c>
      <c r="F61" s="77">
        <v>7285.8483949228903</v>
      </c>
      <c r="G61" s="75">
        <f t="shared" ref="G61:G65" si="10">D61*F61</f>
        <v>0</v>
      </c>
    </row>
    <row r="62" spans="1:17">
      <c r="B62" s="1"/>
      <c r="C62" s="2" t="s">
        <v>84</v>
      </c>
      <c r="D62" s="86">
        <f>236.22+(236.22/2)</f>
        <v>354.33</v>
      </c>
      <c r="E62" s="6" t="s">
        <v>6</v>
      </c>
      <c r="F62" s="77">
        <v>7442.5205295635469</v>
      </c>
      <c r="G62" s="75">
        <f t="shared" si="10"/>
        <v>2637108.2992402515</v>
      </c>
      <c r="I62" s="112">
        <v>233</v>
      </c>
      <c r="K62" s="112">
        <v>163</v>
      </c>
    </row>
    <row r="63" spans="1:17">
      <c r="B63" s="1"/>
      <c r="C63" s="4" t="s">
        <v>108</v>
      </c>
      <c r="D63" s="86">
        <f>166+435</f>
        <v>601</v>
      </c>
      <c r="E63" s="6" t="s">
        <v>6</v>
      </c>
      <c r="F63" s="28">
        <v>7595.9612256065384</v>
      </c>
      <c r="G63" s="75">
        <f t="shared" si="10"/>
        <v>4565172.6965895295</v>
      </c>
    </row>
    <row r="64" spans="1:17">
      <c r="B64" s="1"/>
      <c r="C64" s="40" t="s">
        <v>95</v>
      </c>
      <c r="D64" s="86">
        <f>550+2+650</f>
        <v>1202</v>
      </c>
      <c r="E64" s="6" t="s">
        <v>6</v>
      </c>
      <c r="F64" s="77">
        <v>14450.319994474561</v>
      </c>
      <c r="G64" s="75">
        <f t="shared" si="10"/>
        <v>17369284.633358423</v>
      </c>
      <c r="I64" s="112">
        <v>265</v>
      </c>
      <c r="K64" s="112">
        <v>159</v>
      </c>
    </row>
    <row r="65" spans="2:14" ht="45">
      <c r="B65" s="1"/>
      <c r="C65" s="2" t="s">
        <v>28</v>
      </c>
      <c r="D65" s="85">
        <f>(2.9*8)+(1.9*8)+(2.89*16)+(2.8*8)+(4.48*4)+(2.784*4)+(5.65*4)+25+12.5+18.45+15.508+0.738+15.508+1.771+0.975+10.75</f>
        <v>259.89599999999996</v>
      </c>
      <c r="E65" s="6" t="s">
        <v>29</v>
      </c>
      <c r="F65" s="6">
        <f>F49</f>
        <v>75718.77</v>
      </c>
      <c r="G65" s="75">
        <f t="shared" si="10"/>
        <v>19679005.447919998</v>
      </c>
      <c r="H65" s="117"/>
      <c r="K65" s="112">
        <v>180</v>
      </c>
    </row>
    <row r="66" spans="2:14" ht="45">
      <c r="B66" s="1"/>
      <c r="C66" s="2" t="s">
        <v>44</v>
      </c>
      <c r="D66" s="85"/>
      <c r="E66" s="6"/>
      <c r="F66" s="6"/>
      <c r="G66" s="78"/>
      <c r="H66" s="117"/>
    </row>
    <row r="67" spans="2:14">
      <c r="B67" s="82">
        <v>9</v>
      </c>
      <c r="C67" s="34" t="s">
        <v>109</v>
      </c>
      <c r="D67" s="86"/>
      <c r="E67" s="6"/>
      <c r="F67" s="83"/>
      <c r="G67" s="78"/>
      <c r="H67" s="117"/>
    </row>
    <row r="68" spans="2:14">
      <c r="B68" s="84" t="s">
        <v>111</v>
      </c>
      <c r="C68" s="34" t="s">
        <v>116</v>
      </c>
      <c r="D68" s="86">
        <v>9171</v>
      </c>
      <c r="E68" s="6" t="s">
        <v>110</v>
      </c>
      <c r="F68" s="83">
        <v>2474.4146719115702</v>
      </c>
      <c r="G68" s="75">
        <f>D68*F68</f>
        <v>22692856.956101011</v>
      </c>
      <c r="H68" s="117"/>
    </row>
    <row r="69" spans="2:14">
      <c r="B69" s="91" t="s">
        <v>121</v>
      </c>
      <c r="C69" s="34" t="s">
        <v>122</v>
      </c>
      <c r="D69" s="89">
        <v>2064</v>
      </c>
      <c r="E69" s="79" t="s">
        <v>110</v>
      </c>
      <c r="F69" s="90"/>
      <c r="G69" s="80"/>
      <c r="H69" s="117"/>
    </row>
    <row r="70" spans="2:14" ht="18.75">
      <c r="B70" s="88"/>
      <c r="C70" s="49" t="s">
        <v>115</v>
      </c>
      <c r="D70" s="89"/>
      <c r="E70" s="79"/>
      <c r="F70" s="90"/>
      <c r="G70" s="80"/>
      <c r="H70" s="117"/>
    </row>
    <row r="71" spans="2:14" ht="45">
      <c r="B71" s="50">
        <v>10</v>
      </c>
      <c r="C71" s="2" t="s">
        <v>92</v>
      </c>
      <c r="D71" s="79"/>
      <c r="E71" s="79"/>
      <c r="F71" s="79"/>
      <c r="G71" s="80"/>
      <c r="H71" s="117"/>
    </row>
    <row r="72" spans="2:14">
      <c r="B72" s="84"/>
      <c r="C72" s="2" t="s">
        <v>55</v>
      </c>
      <c r="D72" s="86">
        <f>(245*2*1.5)+(148*2.5*2.5)+(140*2*3.5)+(165*2.5*1.75)+(112*2.5*2)+(525*2.5*1.75)+2150</f>
        <v>8368.75</v>
      </c>
      <c r="E72" s="6" t="s">
        <v>58</v>
      </c>
      <c r="F72" s="77">
        <v>96.906337141238524</v>
      </c>
      <c r="G72" s="75">
        <f t="shared" ref="G72:G75" si="11">D72*F72</f>
        <v>810984.90895073989</v>
      </c>
      <c r="H72" s="117"/>
    </row>
    <row r="73" spans="2:14">
      <c r="B73" s="84"/>
      <c r="C73" s="2" t="s">
        <v>56</v>
      </c>
      <c r="D73" s="86">
        <f>198.5+24+63+14+12+11+231.5+150+235.485+11.265</f>
        <v>950.75</v>
      </c>
      <c r="E73" s="6" t="s">
        <v>58</v>
      </c>
      <c r="F73" s="77">
        <v>4576.9924799748396</v>
      </c>
      <c r="G73" s="75">
        <f t="shared" si="11"/>
        <v>4351575.6003360786</v>
      </c>
      <c r="H73" s="117"/>
      <c r="I73" s="112">
        <v>216</v>
      </c>
      <c r="K73" s="112">
        <v>210</v>
      </c>
      <c r="L73" s="113">
        <f>D73+D74</f>
        <v>9035.6500000000015</v>
      </c>
      <c r="M73" s="113">
        <f>L73-'[2]Nov-2024'!$D$61-'[2]Nov-2024'!$D$62</f>
        <v>4770.6500000000015</v>
      </c>
    </row>
    <row r="74" spans="2:14">
      <c r="B74" s="84"/>
      <c r="C74" s="2" t="s">
        <v>57</v>
      </c>
      <c r="D74" s="86">
        <f>1675+1209+2669+650+1250.63+385.425+95.845+125+25</f>
        <v>8084.9000000000005</v>
      </c>
      <c r="E74" s="6" t="s">
        <v>58</v>
      </c>
      <c r="F74" s="77">
        <v>5868.5286067881307</v>
      </c>
      <c r="G74" s="75">
        <f t="shared" si="11"/>
        <v>47446466.933021359</v>
      </c>
      <c r="H74" s="117"/>
      <c r="K74" s="112">
        <f>2300+615</f>
        <v>2915</v>
      </c>
    </row>
    <row r="75" spans="2:14">
      <c r="B75" s="84"/>
      <c r="C75" s="34" t="s">
        <v>100</v>
      </c>
      <c r="D75" s="86">
        <f>141+125+12+11+22+12.5+27.45+3+12.75</f>
        <v>366.7</v>
      </c>
      <c r="E75" s="6" t="s">
        <v>29</v>
      </c>
      <c r="F75" s="83">
        <v>75718.769116112453</v>
      </c>
      <c r="G75" s="75">
        <f t="shared" si="11"/>
        <v>27766072.634878434</v>
      </c>
      <c r="H75" s="117"/>
      <c r="K75" s="112">
        <v>250</v>
      </c>
    </row>
    <row r="76" spans="2:14">
      <c r="B76" s="84"/>
      <c r="C76" s="34"/>
      <c r="D76" s="86"/>
      <c r="E76" s="6"/>
      <c r="F76" s="83"/>
      <c r="G76" s="78"/>
      <c r="H76" s="117"/>
      <c r="N76" s="112">
        <f>245+148+140+165+112</f>
        <v>810</v>
      </c>
    </row>
    <row r="77" spans="2:14">
      <c r="B77" s="82">
        <v>11</v>
      </c>
      <c r="C77" s="34" t="s">
        <v>112</v>
      </c>
      <c r="D77" s="97">
        <v>4754.22</v>
      </c>
      <c r="E77" s="98" t="s">
        <v>106</v>
      </c>
      <c r="F77" s="83">
        <v>5058</v>
      </c>
      <c r="G77" s="78">
        <f>D77*F77</f>
        <v>24046844.760000002</v>
      </c>
      <c r="H77" s="117"/>
    </row>
    <row r="78" spans="2:14">
      <c r="B78" s="82">
        <v>12</v>
      </c>
      <c r="C78" s="34" t="s">
        <v>114</v>
      </c>
      <c r="D78" s="97">
        <v>9708.2999999999993</v>
      </c>
      <c r="E78" s="98" t="s">
        <v>106</v>
      </c>
      <c r="F78" s="83">
        <v>292</v>
      </c>
      <c r="G78" s="78">
        <f>D78*F78</f>
        <v>2834823.5999999996</v>
      </c>
      <c r="H78" s="117"/>
    </row>
    <row r="79" spans="2:14">
      <c r="B79" s="82">
        <v>13</v>
      </c>
      <c r="C79" s="34" t="s">
        <v>113</v>
      </c>
      <c r="D79" s="97">
        <v>4791</v>
      </c>
      <c r="E79" s="98" t="s">
        <v>110</v>
      </c>
      <c r="F79" s="83">
        <v>1855</v>
      </c>
      <c r="G79" s="78">
        <f>D79*F79</f>
        <v>8887305</v>
      </c>
      <c r="H79" s="117"/>
    </row>
    <row r="80" spans="2:14">
      <c r="B80" s="84"/>
      <c r="C80" s="34"/>
      <c r="D80" s="97"/>
      <c r="E80" s="98"/>
      <c r="F80" s="83"/>
      <c r="G80" s="78"/>
      <c r="H80" s="117"/>
    </row>
    <row r="81" spans="2:13">
      <c r="B81" s="66"/>
      <c r="C81" s="69"/>
      <c r="D81" s="99"/>
      <c r="E81" s="100"/>
      <c r="F81" s="81"/>
      <c r="G81" s="101"/>
      <c r="H81" s="117"/>
    </row>
    <row r="82" spans="2:13">
      <c r="D82" s="102"/>
      <c r="E82" s="103">
        <f>G82/G83</f>
        <v>0.47386073242700916</v>
      </c>
      <c r="F82" s="104"/>
      <c r="G82" s="105">
        <f>SUM(G4:G79)</f>
        <v>2185587856.1730943</v>
      </c>
      <c r="M82" s="120">
        <v>0.20025294544225347</v>
      </c>
    </row>
    <row r="83" spans="2:13">
      <c r="D83" s="102"/>
      <c r="E83" s="121">
        <f>G83/G83</f>
        <v>1</v>
      </c>
      <c r="F83" s="96"/>
      <c r="G83" s="106">
        <v>4612300000</v>
      </c>
    </row>
  </sheetData>
  <mergeCells count="2">
    <mergeCell ref="B1:G1"/>
    <mergeCell ref="A34:A35"/>
  </mergeCells>
  <pageMargins left="0.7" right="0.7" top="0.75" bottom="0.75" header="0.3" footer="0.3"/>
  <pageSetup scale="50" orientation="portrait" r:id="rId1"/>
  <rowBreaks count="1" manualBreakCount="1">
    <brk id="49" max="16383" man="1"/>
  </rowBreaks>
</worksheet>
</file>

<file path=xl/worksheets/sheet23.xml><?xml version="1.0" encoding="utf-8"?>
<worksheet xmlns="http://schemas.openxmlformats.org/spreadsheetml/2006/main" xmlns:r="http://schemas.openxmlformats.org/officeDocument/2006/relationships">
  <dimension ref="A1:T83"/>
  <sheetViews>
    <sheetView workbookViewId="0">
      <selection activeCell="R6" sqref="R6"/>
    </sheetView>
  </sheetViews>
  <sheetFormatPr defaultRowHeight="15"/>
  <cols>
    <col min="1" max="1" width="14.7109375" bestFit="1" customWidth="1"/>
    <col min="2" max="2" width="9.42578125" bestFit="1" customWidth="1"/>
    <col min="3" max="3" width="66.85546875" customWidth="1"/>
    <col min="4" max="4" width="12.28515625" customWidth="1"/>
    <col min="5" max="5" width="9.28515625" bestFit="1" customWidth="1"/>
    <col min="6" max="6" width="12.7109375" bestFit="1" customWidth="1"/>
    <col min="7" max="7" width="20.42578125" bestFit="1" customWidth="1"/>
    <col min="8" max="8" width="11.42578125" style="112" customWidth="1"/>
    <col min="9" max="11" width="10.7109375" style="112" hidden="1" customWidth="1"/>
    <col min="12" max="12" width="10.28515625" style="112" hidden="1" customWidth="1"/>
    <col min="13" max="13" width="9.28515625" style="112" hidden="1" customWidth="1"/>
    <col min="14" max="14" width="13.42578125" style="112" bestFit="1" customWidth="1"/>
    <col min="15" max="15" width="9.140625" style="112"/>
    <col min="16" max="16" width="10.7109375" style="112" bestFit="1" customWidth="1"/>
    <col min="17" max="20" width="9.140625" style="112"/>
  </cols>
  <sheetData>
    <row r="1" spans="2:14" ht="21">
      <c r="B1" s="390" t="s">
        <v>123</v>
      </c>
      <c r="C1" s="391"/>
      <c r="D1" s="391"/>
      <c r="E1" s="391"/>
      <c r="F1" s="391"/>
      <c r="G1" s="392"/>
    </row>
    <row r="2" spans="2:14" ht="18.75">
      <c r="B2" s="71" t="s">
        <v>14</v>
      </c>
      <c r="C2" s="71" t="s">
        <v>12</v>
      </c>
      <c r="D2" s="71" t="s">
        <v>1</v>
      </c>
      <c r="E2" s="71" t="s">
        <v>2</v>
      </c>
      <c r="F2" s="71" t="s">
        <v>16</v>
      </c>
      <c r="G2" s="71" t="s">
        <v>3</v>
      </c>
    </row>
    <row r="3" spans="2:14">
      <c r="B3" s="7"/>
      <c r="C3" s="46" t="s">
        <v>118</v>
      </c>
      <c r="D3" s="6"/>
      <c r="E3" s="6"/>
      <c r="F3" s="6"/>
      <c r="G3" s="6"/>
    </row>
    <row r="4" spans="2:14" ht="30">
      <c r="B4" s="6">
        <v>1</v>
      </c>
      <c r="C4" s="2" t="s">
        <v>0</v>
      </c>
      <c r="D4" s="6">
        <f>73+3.85+11.025+0.175+1.96+3.4+2.695+3.55+1.4+5.7+2.06+0.49+5.63+0.35+2.5+3.28+8.15+0.007</f>
        <v>129.22199999999998</v>
      </c>
      <c r="E4" s="6" t="s">
        <v>4</v>
      </c>
      <c r="F4" s="74">
        <v>30811.3</v>
      </c>
      <c r="G4" s="75">
        <f>D4*F4</f>
        <v>3981497.8085999992</v>
      </c>
    </row>
    <row r="5" spans="2:14">
      <c r="B5" s="6"/>
      <c r="C5" s="40" t="s">
        <v>60</v>
      </c>
      <c r="D5" s="6"/>
      <c r="E5" s="72" t="s">
        <v>61</v>
      </c>
      <c r="F5" s="28">
        <v>412.23394137652696</v>
      </c>
      <c r="G5" s="75">
        <f t="shared" ref="G5:G8" si="0">D5*F5</f>
        <v>0</v>
      </c>
    </row>
    <row r="6" spans="2:14">
      <c r="B6" s="6"/>
      <c r="C6" s="40" t="s">
        <v>62</v>
      </c>
      <c r="D6" s="6"/>
      <c r="E6" s="72" t="s">
        <v>61</v>
      </c>
      <c r="F6" s="28">
        <v>599.22665705247732</v>
      </c>
      <c r="G6" s="75">
        <f t="shared" si="0"/>
        <v>0</v>
      </c>
    </row>
    <row r="7" spans="2:14">
      <c r="B7" s="6"/>
      <c r="C7" s="40" t="s">
        <v>63</v>
      </c>
      <c r="D7" s="6"/>
      <c r="E7" s="72" t="s">
        <v>61</v>
      </c>
      <c r="F7" s="28">
        <v>1213.752718114805</v>
      </c>
      <c r="G7" s="75">
        <f t="shared" si="0"/>
        <v>0</v>
      </c>
    </row>
    <row r="8" spans="2:14">
      <c r="B8" s="6"/>
      <c r="C8" s="42" t="s">
        <v>64</v>
      </c>
      <c r="D8" s="6"/>
      <c r="E8" s="73" t="s">
        <v>61</v>
      </c>
      <c r="F8" s="28">
        <v>2395.2066944310372</v>
      </c>
      <c r="G8" s="75">
        <f t="shared" si="0"/>
        <v>0</v>
      </c>
    </row>
    <row r="9" spans="2:14" ht="75">
      <c r="B9" s="6">
        <v>2</v>
      </c>
      <c r="C9" s="2" t="s">
        <v>7</v>
      </c>
      <c r="D9" s="6"/>
      <c r="E9" s="6"/>
      <c r="F9" s="6"/>
      <c r="G9" s="75"/>
    </row>
    <row r="10" spans="2:14">
      <c r="B10" s="6"/>
      <c r="C10" s="1" t="s">
        <v>5</v>
      </c>
      <c r="D10" s="85">
        <f>451615+35000+118721.5+123043+36165+24201+373343+145166+98210+68110+34059+58305+65065+45690+49947+25468+246706-28300+187599+189268+19500+15745+53430+67617+70393+44620+48735-21524.3</f>
        <v>2645897.2000000002</v>
      </c>
      <c r="E10" s="6" t="s">
        <v>6</v>
      </c>
      <c r="F10" s="6">
        <v>90.23</v>
      </c>
      <c r="G10" s="75">
        <f t="shared" ref="G10:G11" si="1">D10*F10</f>
        <v>238739304.35600004</v>
      </c>
      <c r="I10" s="113">
        <v>14853</v>
      </c>
      <c r="K10" s="112">
        <v>60648</v>
      </c>
    </row>
    <row r="11" spans="2:14" ht="90">
      <c r="B11" s="6"/>
      <c r="C11" s="64" t="s">
        <v>97</v>
      </c>
      <c r="D11" s="85">
        <f>309791+2254+28300+20262+21455+4150+21524.3</f>
        <v>407736.3</v>
      </c>
      <c r="E11" s="6" t="s">
        <v>6</v>
      </c>
      <c r="F11" s="6">
        <v>308.11</v>
      </c>
      <c r="G11" s="75">
        <f t="shared" si="1"/>
        <v>125627631.39300001</v>
      </c>
      <c r="I11" s="113"/>
      <c r="J11" s="114"/>
      <c r="N11" s="113"/>
    </row>
    <row r="12" spans="2:14" ht="30">
      <c r="B12" s="6">
        <v>3</v>
      </c>
      <c r="C12" s="2" t="s">
        <v>9</v>
      </c>
      <c r="D12" s="85"/>
      <c r="E12" s="6"/>
      <c r="F12" s="6"/>
      <c r="G12" s="75"/>
      <c r="N12" s="114"/>
    </row>
    <row r="13" spans="2:14" ht="30">
      <c r="B13" s="6"/>
      <c r="C13" s="4" t="s">
        <v>8</v>
      </c>
      <c r="D13" s="85"/>
      <c r="E13" s="6"/>
      <c r="F13" s="6"/>
      <c r="G13" s="75"/>
    </row>
    <row r="14" spans="2:14">
      <c r="B14" s="6"/>
      <c r="C14" s="1" t="s">
        <v>10</v>
      </c>
      <c r="D14" s="85">
        <f>504480+79000+259382.35+112255.09+65531.025+80991.93+85622.67+15397.55+59540+69256+41670+60301+87875+21530+125240-22455+28453+19719+16390+17142+16475-15976+36795-19388+62089-42387</f>
        <v>1764929.615</v>
      </c>
      <c r="E14" s="6" t="s">
        <v>6</v>
      </c>
      <c r="F14" s="6">
        <v>96.91</v>
      </c>
      <c r="G14" s="75">
        <f t="shared" ref="G14:G15" si="2">D14*F14</f>
        <v>171039328.98964998</v>
      </c>
      <c r="H14" s="115"/>
      <c r="I14" s="113"/>
      <c r="J14" s="113"/>
      <c r="K14" s="113"/>
      <c r="N14" s="113"/>
    </row>
    <row r="15" spans="2:14">
      <c r="B15" s="6"/>
      <c r="C15" s="1" t="s">
        <v>38</v>
      </c>
      <c r="D15" s="85">
        <f>54904.65+54772.5+3320+22455+15976-6124+19355+42357</f>
        <v>207016.15</v>
      </c>
      <c r="E15" s="6" t="s">
        <v>6</v>
      </c>
      <c r="F15" s="6">
        <v>249.23</v>
      </c>
      <c r="G15" s="75">
        <f t="shared" si="2"/>
        <v>51594635.064499997</v>
      </c>
      <c r="H15" s="115"/>
      <c r="I15" s="113"/>
      <c r="J15" s="113"/>
      <c r="K15" s="113"/>
    </row>
    <row r="16" spans="2:14" ht="25.5">
      <c r="B16" s="41">
        <v>4</v>
      </c>
      <c r="C16" s="42" t="s">
        <v>65</v>
      </c>
      <c r="D16" s="85"/>
      <c r="E16" s="6"/>
      <c r="F16" s="6"/>
      <c r="G16" s="75"/>
      <c r="H16" s="116"/>
      <c r="I16" s="113"/>
      <c r="J16" s="113"/>
    </row>
    <row r="17" spans="1:16">
      <c r="B17" s="41"/>
      <c r="C17" s="42" t="s">
        <v>94</v>
      </c>
      <c r="D17" s="85">
        <f>361490+6124+1754+2485</f>
        <v>371853</v>
      </c>
      <c r="E17" s="6" t="s">
        <v>6</v>
      </c>
      <c r="F17" s="77">
        <v>249.2337246708139</v>
      </c>
      <c r="G17" s="75">
        <f t="shared" ref="G17:G20" si="3">D17*F17</f>
        <v>92678308.220016167</v>
      </c>
      <c r="H17" s="112">
        <v>361139</v>
      </c>
      <c r="I17" s="113">
        <v>18786</v>
      </c>
      <c r="J17" s="113"/>
      <c r="K17" s="112">
        <v>19192</v>
      </c>
      <c r="L17" s="113"/>
      <c r="N17" s="113">
        <f>2109700-D17</f>
        <v>1737847</v>
      </c>
    </row>
    <row r="18" spans="1:16" ht="25.5">
      <c r="B18" s="6">
        <v>5</v>
      </c>
      <c r="C18" s="40" t="s">
        <v>107</v>
      </c>
      <c r="D18" s="85">
        <f>46242.975+1125+6056+6287.6+955.7+1435+64+122.4+806+426</f>
        <v>63520.674999999996</v>
      </c>
      <c r="E18" s="6" t="s">
        <v>6</v>
      </c>
      <c r="F18" s="77">
        <v>1078.429300650386</v>
      </c>
      <c r="G18" s="75">
        <f t="shared" si="3"/>
        <v>68502557.117090449</v>
      </c>
      <c r="I18" s="113">
        <f>32105+15173</f>
        <v>47278</v>
      </c>
      <c r="J18" s="113"/>
      <c r="K18" s="112">
        <v>5943</v>
      </c>
    </row>
    <row r="19" spans="1:16" ht="25.5">
      <c r="B19" s="6"/>
      <c r="C19" s="40" t="s">
        <v>98</v>
      </c>
      <c r="D19" s="85">
        <f>12603+8072.225+1245+1478+5433.23+3054.76+1685+284.5+669.2+1150.2</f>
        <v>35675.114999999991</v>
      </c>
      <c r="E19" s="6" t="s">
        <v>6</v>
      </c>
      <c r="F19" s="77">
        <v>1605.2049429494912</v>
      </c>
      <c r="G19" s="75">
        <f t="shared" si="3"/>
        <v>57265870.93829152</v>
      </c>
      <c r="H19" s="116"/>
      <c r="I19" s="113">
        <v>10591</v>
      </c>
      <c r="J19" s="113"/>
      <c r="K19" s="113">
        <v>1225</v>
      </c>
      <c r="N19" s="112">
        <v>11904.000000000002</v>
      </c>
    </row>
    <row r="20" spans="1:16" ht="38.25">
      <c r="B20" s="6"/>
      <c r="C20" s="40" t="s">
        <v>101</v>
      </c>
      <c r="D20" s="85">
        <f>3883.75+1265+1123+3525.25+2211.8+705+406.3+621.4+143.4</f>
        <v>13884.899999999998</v>
      </c>
      <c r="E20" s="6" t="s">
        <v>6</v>
      </c>
      <c r="F20" s="77">
        <v>1137.1086840767043</v>
      </c>
      <c r="G20" s="75">
        <f t="shared" si="3"/>
        <v>15788640.367536629</v>
      </c>
      <c r="H20" s="116"/>
      <c r="I20" s="113"/>
      <c r="J20" s="113"/>
      <c r="K20" s="113">
        <v>952</v>
      </c>
      <c r="N20" s="112">
        <v>8072.2249999999976</v>
      </c>
    </row>
    <row r="21" spans="1:16">
      <c r="B21" s="107"/>
      <c r="C21" s="108" t="s">
        <v>124</v>
      </c>
      <c r="D21" s="109">
        <v>4408.7299999999996</v>
      </c>
      <c r="E21" s="107" t="s">
        <v>6</v>
      </c>
      <c r="F21" s="110"/>
      <c r="G21" s="111"/>
      <c r="H21" s="116"/>
      <c r="I21" s="113"/>
      <c r="J21" s="113"/>
      <c r="K21" s="113"/>
    </row>
    <row r="22" spans="1:16" ht="15.75">
      <c r="B22" s="6"/>
      <c r="C22" s="68" t="s">
        <v>102</v>
      </c>
      <c r="D22" s="85"/>
      <c r="E22" s="6"/>
      <c r="F22" s="77"/>
      <c r="G22" s="75"/>
      <c r="H22" s="116"/>
      <c r="I22" s="113"/>
      <c r="J22" s="113"/>
      <c r="K22" s="113"/>
    </row>
    <row r="23" spans="1:16" ht="25.5">
      <c r="B23" s="6"/>
      <c r="C23" s="40" t="s">
        <v>103</v>
      </c>
      <c r="D23" s="85">
        <f>74356+10254+22040+13108</f>
        <v>119758</v>
      </c>
      <c r="E23" s="76" t="s">
        <v>106</v>
      </c>
      <c r="F23" s="77">
        <v>49.225000000000001</v>
      </c>
      <c r="G23" s="75">
        <f t="shared" ref="G23:G25" si="4">D23*F23</f>
        <v>5895087.5499999998</v>
      </c>
      <c r="H23" s="116">
        <v>30528</v>
      </c>
      <c r="I23" s="113"/>
      <c r="J23" s="113"/>
      <c r="K23" s="113"/>
    </row>
    <row r="24" spans="1:16" ht="38.25">
      <c r="B24" s="6"/>
      <c r="C24" s="40" t="s">
        <v>104</v>
      </c>
      <c r="D24" s="85">
        <f>74356+10254+11136+15080+2151</f>
        <v>112977</v>
      </c>
      <c r="E24" s="76" t="s">
        <v>106</v>
      </c>
      <c r="F24" s="77">
        <v>13.65</v>
      </c>
      <c r="G24" s="75">
        <f t="shared" si="4"/>
        <v>1542136.05</v>
      </c>
      <c r="H24" s="116"/>
      <c r="I24" s="113"/>
      <c r="J24" s="113"/>
      <c r="K24" s="113"/>
    </row>
    <row r="25" spans="1:16" ht="38.25">
      <c r="B25" s="6"/>
      <c r="C25" s="40" t="s">
        <v>105</v>
      </c>
      <c r="D25" s="85">
        <f>4207+125+141+1726.08+2506.51+882+195+404+234.3+660+125.3</f>
        <v>11206.189999999999</v>
      </c>
      <c r="E25" s="76" t="s">
        <v>6</v>
      </c>
      <c r="F25" s="77">
        <v>9856.7824970557394</v>
      </c>
      <c r="G25" s="75">
        <f t="shared" si="4"/>
        <v>110456977.45068105</v>
      </c>
      <c r="H25" s="116"/>
      <c r="I25" s="113"/>
      <c r="J25" s="113"/>
      <c r="K25" s="113"/>
    </row>
    <row r="26" spans="1:16" ht="15.75">
      <c r="A26" s="56" t="s">
        <v>49</v>
      </c>
      <c r="B26" s="6"/>
      <c r="C26" s="47" t="s">
        <v>22</v>
      </c>
      <c r="D26" s="86"/>
      <c r="E26" s="6"/>
      <c r="F26" s="6"/>
      <c r="G26" s="78"/>
    </row>
    <row r="27" spans="1:16" ht="30">
      <c r="B27" s="6">
        <v>6</v>
      </c>
      <c r="C27" s="43" t="s">
        <v>13</v>
      </c>
      <c r="D27" s="6"/>
      <c r="E27" s="6"/>
      <c r="F27" s="6"/>
      <c r="G27" s="6"/>
    </row>
    <row r="28" spans="1:16">
      <c r="B28" s="1"/>
      <c r="C28" s="2" t="s">
        <v>11</v>
      </c>
      <c r="D28" s="85">
        <f>850+200+202.5+309+1476+700+1629.08+1644.5+168+222+401.45+252+458.8+2833.1+9285.836-4900+487.2+329.18+518.45+568.82+569.66+209.3+243.5+450+336.3+181.7+234.03+1463+2374+254+1748+1245+845</f>
        <v>27789.405999999999</v>
      </c>
      <c r="E28" s="6" t="s">
        <v>6</v>
      </c>
      <c r="F28" s="6">
        <v>96.91</v>
      </c>
      <c r="G28" s="75">
        <f t="shared" ref="G28:G31" si="5">D28*F28</f>
        <v>2693071.3354599997</v>
      </c>
      <c r="I28" s="113"/>
    </row>
    <row r="29" spans="1:16" ht="45">
      <c r="B29" s="1"/>
      <c r="C29" s="2" t="s">
        <v>68</v>
      </c>
      <c r="D29" s="87">
        <f>205+68+194+108.5+74.1+136.85+24+233+235.3+54.5+68+7+6+112+368.5+250+58.75</f>
        <v>2203.5</v>
      </c>
      <c r="E29" s="6" t="s">
        <v>6</v>
      </c>
      <c r="F29" s="6">
        <v>4576.99</v>
      </c>
      <c r="G29" s="75">
        <f t="shared" si="5"/>
        <v>10085397.465</v>
      </c>
      <c r="I29" s="112">
        <v>65</v>
      </c>
      <c r="K29" s="112">
        <f>47+24</f>
        <v>71</v>
      </c>
      <c r="P29" s="117"/>
    </row>
    <row r="30" spans="1:16" ht="45">
      <c r="B30" s="1"/>
      <c r="C30" s="2" t="s">
        <v>73</v>
      </c>
      <c r="D30" s="85">
        <f>30.11+32+39+96.57+80+2768.53+265.2+1585.8+1488.05+2658.45+428.5+2551.56+2592.34+574+214+41.218+69.393</f>
        <v>15514.721</v>
      </c>
      <c r="E30" s="6" t="s">
        <v>6</v>
      </c>
      <c r="F30" s="6">
        <v>5868.53</v>
      </c>
      <c r="G30" s="75">
        <f t="shared" si="5"/>
        <v>91048605.630129993</v>
      </c>
      <c r="I30" s="112">
        <v>726</v>
      </c>
      <c r="K30" s="112">
        <f>490+431</f>
        <v>921</v>
      </c>
      <c r="N30" s="112">
        <f>368.5-31.5</f>
        <v>337</v>
      </c>
      <c r="P30" s="117"/>
    </row>
    <row r="31" spans="1:16" ht="45">
      <c r="B31" s="1"/>
      <c r="C31" s="2" t="s">
        <v>74</v>
      </c>
      <c r="D31" s="85">
        <f>168+138.041+124.151+3.886+3.594+0.536+1.14+9.255+2.227+2.382+12.457+35.72+5.551+16.04+35.819+7.862+4.444+31.304+25.001+2.619+3.385+0.119+5.72+10.328+24.446+213.827+5.759+0.9+4.2+7.656+13.888+6.093+8.113+7.436+36.812+29.308+2.046+1.554+1.706+9.883+2.25+5.808+21.855+6.382+4.499+204.199+1364+478+14+78+121+54.322876+121.6+91.25+10.49+35+48+30.949+44.486+2.221+9.196+4.895+28.615</f>
        <v>3804.2258759999995</v>
      </c>
      <c r="E31" s="6" t="s">
        <v>29</v>
      </c>
      <c r="F31" s="6">
        <v>75718.77</v>
      </c>
      <c r="G31" s="75">
        <f t="shared" si="5"/>
        <v>288051304.13289249</v>
      </c>
      <c r="H31" s="117"/>
      <c r="K31" s="113">
        <v>250</v>
      </c>
    </row>
    <row r="32" spans="1:16" ht="38.25">
      <c r="B32" s="1"/>
      <c r="C32" s="27" t="s">
        <v>71</v>
      </c>
      <c r="D32" s="85"/>
      <c r="E32" s="6"/>
      <c r="F32" s="6"/>
      <c r="G32" s="78"/>
    </row>
    <row r="33" spans="1:19">
      <c r="B33" s="1"/>
      <c r="C33" s="27" t="s">
        <v>70</v>
      </c>
      <c r="D33" s="85">
        <f>2551.56+2592.34+1380.7+65.8+744+125+65.8+33.6+87.5+1861.5+146.3+1245+152+75+255.343-90+111.129+125.389+152.25</f>
        <v>11680.210999999999</v>
      </c>
      <c r="E33" s="6" t="s">
        <v>6</v>
      </c>
      <c r="F33" s="28">
        <v>7285.8483949228903</v>
      </c>
      <c r="G33" s="75">
        <f>D33*F33</f>
        <v>85100246.566710681</v>
      </c>
      <c r="I33" s="112">
        <v>375</v>
      </c>
      <c r="K33" s="112">
        <f>200+147</f>
        <v>347</v>
      </c>
    </row>
    <row r="34" spans="1:19" ht="18.75">
      <c r="A34" s="381" t="s">
        <v>93</v>
      </c>
      <c r="B34" s="6"/>
      <c r="C34" s="48" t="s">
        <v>26</v>
      </c>
      <c r="D34" s="86"/>
      <c r="E34" s="6"/>
      <c r="F34" s="6"/>
      <c r="G34" s="78"/>
    </row>
    <row r="35" spans="1:19" ht="30">
      <c r="A35" s="381"/>
      <c r="B35" s="6">
        <v>7</v>
      </c>
      <c r="C35" s="2" t="s">
        <v>13</v>
      </c>
      <c r="D35" s="6"/>
      <c r="E35" s="6"/>
      <c r="F35" s="6"/>
      <c r="G35" s="6"/>
    </row>
    <row r="36" spans="1:19" ht="15" customHeight="1">
      <c r="A36" s="57"/>
      <c r="B36" s="1"/>
      <c r="C36" s="2" t="s">
        <v>11</v>
      </c>
      <c r="D36" s="86">
        <f>6027+1895.4+5745+325+647+1288+3575</f>
        <v>19502.400000000001</v>
      </c>
      <c r="E36" s="6" t="s">
        <v>6</v>
      </c>
      <c r="F36" s="6">
        <v>112.79</v>
      </c>
      <c r="G36" s="75">
        <f>D36*F36</f>
        <v>2199675.6960000005</v>
      </c>
      <c r="L36" s="113"/>
    </row>
    <row r="37" spans="1:19" ht="45">
      <c r="B37" s="1"/>
      <c r="C37" s="2" t="s">
        <v>75</v>
      </c>
      <c r="D37" s="86">
        <f>191+213+135+69.5+44.5+33.7+10+64.5+68.5</f>
        <v>829.7</v>
      </c>
      <c r="E37" s="6" t="s">
        <v>6</v>
      </c>
      <c r="F37" s="6">
        <v>4576.99</v>
      </c>
      <c r="G37" s="75">
        <f>D37*F37</f>
        <v>3797528.6030000001</v>
      </c>
      <c r="I37" s="112">
        <v>187</v>
      </c>
      <c r="K37" s="112">
        <f>197+45</f>
        <v>242</v>
      </c>
      <c r="M37" s="113">
        <f>D37+D39+D40+D42+D43+D45+D46+D48</f>
        <v>18766.900000000001</v>
      </c>
    </row>
    <row r="38" spans="1:19" ht="45">
      <c r="B38" s="1"/>
      <c r="C38" s="2" t="s">
        <v>76</v>
      </c>
      <c r="D38" s="86"/>
      <c r="E38" s="6"/>
      <c r="F38" s="6"/>
      <c r="G38" s="78"/>
      <c r="M38" s="113">
        <f>M37-'[2]Nov-2024'!$L$32</f>
        <v>5151.9000000000015</v>
      </c>
    </row>
    <row r="39" spans="1:19">
      <c r="B39" s="1"/>
      <c r="C39" s="2" t="s">
        <v>77</v>
      </c>
      <c r="D39" s="86">
        <f>121+344+4812</f>
        <v>5277</v>
      </c>
      <c r="E39" s="6" t="s">
        <v>6</v>
      </c>
      <c r="F39" s="6">
        <v>5868.53</v>
      </c>
      <c r="G39" s="75">
        <f>D39*F39</f>
        <v>30968232.809999999</v>
      </c>
      <c r="H39" s="118">
        <f>241+120+513.5+542.83+1058.75+1184.8+534.3+177+639.2+2098.5+1680.5</f>
        <v>8790.380000000001</v>
      </c>
      <c r="I39" s="112">
        <v>226</v>
      </c>
      <c r="K39" s="112">
        <f>191+62</f>
        <v>253</v>
      </c>
      <c r="N39" s="112">
        <f>4794</f>
        <v>4794</v>
      </c>
      <c r="O39" s="113">
        <f>H39-N39</f>
        <v>3996.380000000001</v>
      </c>
    </row>
    <row r="40" spans="1:19">
      <c r="B40" s="1"/>
      <c r="C40" s="2" t="s">
        <v>78</v>
      </c>
      <c r="D40" s="86"/>
      <c r="E40" s="6" t="s">
        <v>6</v>
      </c>
      <c r="F40" s="6">
        <v>6025.2</v>
      </c>
      <c r="G40" s="78">
        <f>D40*F40</f>
        <v>0</v>
      </c>
      <c r="H40" s="118">
        <f>16*45+193+200.5+74+322.5+221.7+251.5+57.5+179+39.5+192.5</f>
        <v>2451.6999999999998</v>
      </c>
      <c r="I40" s="112">
        <v>24</v>
      </c>
      <c r="K40" s="112">
        <f>714+234</f>
        <v>948</v>
      </c>
    </row>
    <row r="41" spans="1:19" ht="45">
      <c r="B41" s="1"/>
      <c r="C41" s="2" t="s">
        <v>79</v>
      </c>
      <c r="D41" s="86"/>
      <c r="E41" s="6"/>
      <c r="F41" s="6"/>
      <c r="G41" s="78"/>
    </row>
    <row r="42" spans="1:19">
      <c r="B42" s="1"/>
      <c r="C42" s="2" t="s">
        <v>80</v>
      </c>
      <c r="D42" s="86">
        <f>4416+488.2+1345</f>
        <v>6249.2</v>
      </c>
      <c r="E42" s="6" t="s">
        <v>6</v>
      </c>
      <c r="F42" s="77">
        <v>6577.18850085551</v>
      </c>
      <c r="G42" s="75">
        <f>D42*F42</f>
        <v>41102166.379546255</v>
      </c>
      <c r="I42" s="112">
        <v>491</v>
      </c>
      <c r="K42" s="112">
        <f>433+48</f>
        <v>481</v>
      </c>
    </row>
    <row r="43" spans="1:19">
      <c r="B43" s="1"/>
      <c r="C43" s="2" t="s">
        <v>81</v>
      </c>
      <c r="D43" s="86"/>
      <c r="E43" s="6" t="s">
        <v>6</v>
      </c>
      <c r="F43" s="77">
        <v>6733.8606354961657</v>
      </c>
      <c r="G43" s="78">
        <f>F43*D43</f>
        <v>0</v>
      </c>
      <c r="I43" s="112">
        <v>349</v>
      </c>
      <c r="K43" s="112">
        <f>190+41</f>
        <v>231</v>
      </c>
    </row>
    <row r="44" spans="1:19" ht="45">
      <c r="B44" s="1"/>
      <c r="C44" s="2" t="s">
        <v>82</v>
      </c>
      <c r="D44" s="86"/>
      <c r="E44" s="6"/>
      <c r="F44" s="6"/>
      <c r="G44" s="78"/>
    </row>
    <row r="45" spans="1:19">
      <c r="B45" s="1"/>
      <c r="C45" s="4" t="s">
        <v>83</v>
      </c>
      <c r="D45" s="86">
        <f>630+1260+490+325+333+1750+1623</f>
        <v>6411</v>
      </c>
      <c r="E45" s="6" t="s">
        <v>6</v>
      </c>
      <c r="F45" s="77">
        <v>7285.8483949228903</v>
      </c>
      <c r="G45" s="75">
        <f>D45*F45</f>
        <v>46709574.059850648</v>
      </c>
      <c r="I45" s="112">
        <v>28</v>
      </c>
      <c r="K45" s="112">
        <f>71.5+8.5</f>
        <v>80</v>
      </c>
      <c r="S45" s="113"/>
    </row>
    <row r="46" spans="1:19">
      <c r="B46" s="1"/>
      <c r="C46" s="4" t="s">
        <v>84</v>
      </c>
      <c r="D46" s="86"/>
      <c r="E46" s="6" t="s">
        <v>6</v>
      </c>
      <c r="F46" s="77">
        <v>7442.5205295635469</v>
      </c>
      <c r="G46" s="75">
        <f t="shared" ref="G46:G49" si="6">D46*F46</f>
        <v>0</v>
      </c>
      <c r="I46" s="112">
        <v>420</v>
      </c>
      <c r="K46" s="112">
        <f>448+48</f>
        <v>496</v>
      </c>
    </row>
    <row r="47" spans="1:19">
      <c r="B47" s="1"/>
      <c r="C47" s="4" t="s">
        <v>108</v>
      </c>
      <c r="D47" s="86"/>
      <c r="E47" s="6" t="s">
        <v>6</v>
      </c>
      <c r="F47" s="28">
        <v>7595.9612256065384</v>
      </c>
      <c r="G47" s="75">
        <f t="shared" si="6"/>
        <v>0</v>
      </c>
    </row>
    <row r="48" spans="1:19">
      <c r="B48" s="1"/>
      <c r="C48" s="4" t="s">
        <v>85</v>
      </c>
      <c r="D48" s="86"/>
      <c r="E48" s="6" t="s">
        <v>6</v>
      </c>
      <c r="F48" s="77">
        <v>14450.319994474561</v>
      </c>
      <c r="G48" s="75">
        <f t="shared" si="6"/>
        <v>0</v>
      </c>
      <c r="I48" s="112">
        <v>331</v>
      </c>
      <c r="K48" s="112">
        <f>7+275</f>
        <v>282</v>
      </c>
      <c r="N48" s="117">
        <f>D48+D45+D43+D42+D39+D37+D33+D30+D29</f>
        <v>48165.332000000002</v>
      </c>
      <c r="S48" s="113"/>
    </row>
    <row r="49" spans="1:17" ht="45">
      <c r="B49" s="1"/>
      <c r="C49" s="2" t="s">
        <v>96</v>
      </c>
      <c r="D49" s="85">
        <f>978+111+111.6+121+354.6+121.5+87.4+225.3+65.8+122.1+74.5+65.3+121.4+25.6+66.8+21.5+24.85+32.25+25</f>
        <v>2755.5000000000005</v>
      </c>
      <c r="E49" s="6" t="s">
        <v>29</v>
      </c>
      <c r="F49" s="6">
        <v>75718.77</v>
      </c>
      <c r="G49" s="75">
        <f t="shared" si="6"/>
        <v>208643070.73500004</v>
      </c>
      <c r="H49" s="117"/>
      <c r="K49" s="112">
        <v>200</v>
      </c>
    </row>
    <row r="50" spans="1:17" ht="18.75">
      <c r="A50" s="58" t="s">
        <v>50</v>
      </c>
      <c r="B50" s="6"/>
      <c r="C50" s="49" t="s">
        <v>43</v>
      </c>
      <c r="D50" s="86"/>
      <c r="E50" s="6"/>
      <c r="F50" s="6"/>
      <c r="G50" s="78"/>
    </row>
    <row r="51" spans="1:17" ht="30">
      <c r="A51" s="58"/>
      <c r="B51" s="6">
        <v>8</v>
      </c>
      <c r="C51" s="2" t="s">
        <v>13</v>
      </c>
      <c r="D51" s="6"/>
      <c r="E51" s="6"/>
      <c r="F51" s="6"/>
      <c r="G51" s="6"/>
    </row>
    <row r="52" spans="1:17">
      <c r="B52" s="1"/>
      <c r="C52" s="2" t="s">
        <v>11</v>
      </c>
      <c r="D52" s="86">
        <f>1017.9+1346.5+1945+2087+351+632</f>
        <v>7379.4</v>
      </c>
      <c r="E52" s="6" t="s">
        <v>6</v>
      </c>
      <c r="F52" s="6">
        <v>22751</v>
      </c>
      <c r="G52" s="75">
        <f t="shared" ref="G52:G53" si="7">D52*F52</f>
        <v>167888729.40000001</v>
      </c>
      <c r="N52" s="112">
        <f>250*2*2.5</f>
        <v>1250</v>
      </c>
    </row>
    <row r="53" spans="1:17" ht="45">
      <c r="B53" s="1"/>
      <c r="C53" s="2" t="s">
        <v>75</v>
      </c>
      <c r="D53" s="93">
        <f>63.75+24.785+61.25+91.785</f>
        <v>241.57</v>
      </c>
      <c r="E53" s="6" t="s">
        <v>6</v>
      </c>
      <c r="F53" s="6">
        <v>1076</v>
      </c>
      <c r="G53" s="75">
        <f t="shared" si="7"/>
        <v>259929.32</v>
      </c>
      <c r="I53" s="112">
        <v>65</v>
      </c>
      <c r="K53" s="112">
        <f>70+16.8</f>
        <v>86.8</v>
      </c>
    </row>
    <row r="54" spans="1:17" ht="45">
      <c r="B54" s="1"/>
      <c r="C54" s="2" t="s">
        <v>76</v>
      </c>
      <c r="D54" s="86"/>
      <c r="E54" s="6"/>
      <c r="F54" s="6"/>
      <c r="G54" s="78"/>
      <c r="N54" s="112">
        <v>1949.5299999999997</v>
      </c>
    </row>
    <row r="55" spans="1:17">
      <c r="B55" s="1"/>
      <c r="C55" s="2" t="s">
        <v>86</v>
      </c>
      <c r="D55" s="86"/>
      <c r="E55" s="6" t="s">
        <v>6</v>
      </c>
      <c r="F55" s="6">
        <v>3131</v>
      </c>
      <c r="G55" s="75">
        <f t="shared" ref="G55:G56" si="8">D55*F55</f>
        <v>0</v>
      </c>
      <c r="N55" s="119">
        <f>N54-D56</f>
        <v>-883.44</v>
      </c>
    </row>
    <row r="56" spans="1:17">
      <c r="B56" s="1"/>
      <c r="C56" s="2" t="s">
        <v>87</v>
      </c>
      <c r="D56" s="86">
        <f>182.24+182.24+245.55+182.24+16*45+193+200.5+74+322.5+221.7+251.5+57.5</f>
        <v>2832.97</v>
      </c>
      <c r="E56" s="6" t="s">
        <v>6</v>
      </c>
      <c r="F56" s="6">
        <v>5985</v>
      </c>
      <c r="G56" s="75">
        <f t="shared" si="8"/>
        <v>16955325.449999999</v>
      </c>
      <c r="I56" s="112">
        <v>161</v>
      </c>
      <c r="K56" s="112">
        <v>160</v>
      </c>
      <c r="N56" s="113"/>
    </row>
    <row r="57" spans="1:17" ht="45">
      <c r="B57" s="1"/>
      <c r="C57" s="2" t="s">
        <v>88</v>
      </c>
      <c r="D57" s="86"/>
      <c r="E57" s="6"/>
      <c r="F57" s="6"/>
      <c r="G57" s="78"/>
    </row>
    <row r="58" spans="1:17">
      <c r="B58" s="1"/>
      <c r="C58" s="2" t="s">
        <v>89</v>
      </c>
      <c r="D58" s="86"/>
      <c r="E58" s="6" t="s">
        <v>6</v>
      </c>
      <c r="F58" s="77">
        <v>6577.18850085551</v>
      </c>
      <c r="G58" s="75">
        <f t="shared" ref="G58:G59" si="9">D58*F58</f>
        <v>0</v>
      </c>
      <c r="I58" s="112">
        <v>212</v>
      </c>
      <c r="K58" s="112">
        <f>150+26</f>
        <v>176</v>
      </c>
    </row>
    <row r="59" spans="1:17">
      <c r="B59" s="1"/>
      <c r="C59" s="2" t="s">
        <v>90</v>
      </c>
      <c r="D59" s="86">
        <f>1157.26+116.5</f>
        <v>1273.76</v>
      </c>
      <c r="E59" s="6" t="s">
        <v>6</v>
      </c>
      <c r="F59" s="77">
        <v>6733.8606354961657</v>
      </c>
      <c r="G59" s="75">
        <f t="shared" si="9"/>
        <v>8577322.3230695967</v>
      </c>
      <c r="I59" s="112">
        <v>46</v>
      </c>
      <c r="K59" s="112">
        <v>125</v>
      </c>
    </row>
    <row r="60" spans="1:17" ht="45">
      <c r="B60" s="1"/>
      <c r="C60" s="2" t="s">
        <v>91</v>
      </c>
      <c r="D60" s="86"/>
      <c r="E60" s="6"/>
      <c r="F60" s="6"/>
      <c r="G60" s="78"/>
      <c r="Q60" s="113"/>
    </row>
    <row r="61" spans="1:17">
      <c r="B61" s="1"/>
      <c r="C61" s="2" t="s">
        <v>83</v>
      </c>
      <c r="D61" s="86"/>
      <c r="E61" s="6" t="s">
        <v>6</v>
      </c>
      <c r="F61" s="77">
        <v>7285.8483949228903</v>
      </c>
      <c r="G61" s="75">
        <f t="shared" ref="G61:G65" si="10">D61*F61</f>
        <v>0</v>
      </c>
    </row>
    <row r="62" spans="1:17">
      <c r="B62" s="1"/>
      <c r="C62" s="2" t="s">
        <v>84</v>
      </c>
      <c r="D62" s="86">
        <f>236.22+(236.22/2)</f>
        <v>354.33</v>
      </c>
      <c r="E62" s="6" t="s">
        <v>6</v>
      </c>
      <c r="F62" s="77">
        <v>7442.5205295635469</v>
      </c>
      <c r="G62" s="75">
        <f t="shared" si="10"/>
        <v>2637108.2992402515</v>
      </c>
      <c r="I62" s="112">
        <v>233</v>
      </c>
      <c r="K62" s="112">
        <v>163</v>
      </c>
    </row>
    <row r="63" spans="1:17">
      <c r="B63" s="1"/>
      <c r="C63" s="4" t="s">
        <v>108</v>
      </c>
      <c r="D63" s="86">
        <v>166</v>
      </c>
      <c r="E63" s="6" t="s">
        <v>6</v>
      </c>
      <c r="F63" s="28">
        <v>7595.9612256065384</v>
      </c>
      <c r="G63" s="75">
        <f t="shared" si="10"/>
        <v>1260929.5634506855</v>
      </c>
    </row>
    <row r="64" spans="1:17">
      <c r="B64" s="1"/>
      <c r="C64" s="40" t="s">
        <v>95</v>
      </c>
      <c r="D64" s="86">
        <f>550+2+650</f>
        <v>1202</v>
      </c>
      <c r="E64" s="6" t="s">
        <v>6</v>
      </c>
      <c r="F64" s="77">
        <v>14450.319994474561</v>
      </c>
      <c r="G64" s="75">
        <f t="shared" si="10"/>
        <v>17369284.633358423</v>
      </c>
      <c r="I64" s="112">
        <v>265</v>
      </c>
      <c r="K64" s="112">
        <v>159</v>
      </c>
    </row>
    <row r="65" spans="2:14" ht="45">
      <c r="B65" s="1"/>
      <c r="C65" s="2" t="s">
        <v>28</v>
      </c>
      <c r="D65" s="85">
        <f>(2.9*8)+(1.9*8)+(2.89*16)+(2.8*8)+(4.48*4)+(2.784*4)+(5.65*4)+25+12.5+18.45+15.508+0.738+15.508+1.771+0.975</f>
        <v>249.14599999999999</v>
      </c>
      <c r="E65" s="6" t="s">
        <v>29</v>
      </c>
      <c r="F65" s="6">
        <f>F49</f>
        <v>75718.77</v>
      </c>
      <c r="G65" s="75">
        <f t="shared" si="10"/>
        <v>18865028.670419998</v>
      </c>
      <c r="H65" s="117"/>
      <c r="K65" s="112">
        <v>180</v>
      </c>
    </row>
    <row r="66" spans="2:14" ht="45">
      <c r="B66" s="1"/>
      <c r="C66" s="2" t="s">
        <v>44</v>
      </c>
      <c r="D66" s="85"/>
      <c r="E66" s="6"/>
      <c r="F66" s="6"/>
      <c r="G66" s="78"/>
      <c r="H66" s="117"/>
    </row>
    <row r="67" spans="2:14">
      <c r="B67" s="82">
        <v>9</v>
      </c>
      <c r="C67" s="34" t="s">
        <v>109</v>
      </c>
      <c r="D67" s="86"/>
      <c r="E67" s="6"/>
      <c r="F67" s="83"/>
      <c r="G67" s="78"/>
      <c r="H67" s="117"/>
    </row>
    <row r="68" spans="2:14">
      <c r="B68" s="84" t="s">
        <v>111</v>
      </c>
      <c r="C68" s="34" t="s">
        <v>116</v>
      </c>
      <c r="D68" s="86">
        <v>7690</v>
      </c>
      <c r="E68" s="6" t="s">
        <v>110</v>
      </c>
      <c r="F68" s="83">
        <v>2474.4146719115702</v>
      </c>
      <c r="G68" s="75">
        <f>D68*F68</f>
        <v>19028248.826999974</v>
      </c>
      <c r="H68" s="117"/>
    </row>
    <row r="69" spans="2:14">
      <c r="B69" s="91" t="s">
        <v>121</v>
      </c>
      <c r="C69" s="34" t="s">
        <v>122</v>
      </c>
      <c r="D69" s="89">
        <v>1820</v>
      </c>
      <c r="E69" s="79" t="s">
        <v>110</v>
      </c>
      <c r="F69" s="90"/>
      <c r="G69" s="80"/>
      <c r="H69" s="117"/>
    </row>
    <row r="70" spans="2:14" ht="18.75">
      <c r="B70" s="88"/>
      <c r="C70" s="49" t="s">
        <v>115</v>
      </c>
      <c r="D70" s="89"/>
      <c r="E70" s="79"/>
      <c r="F70" s="90"/>
      <c r="G70" s="80"/>
      <c r="H70" s="117"/>
    </row>
    <row r="71" spans="2:14" ht="45">
      <c r="B71" s="50">
        <v>10</v>
      </c>
      <c r="C71" s="2" t="s">
        <v>92</v>
      </c>
      <c r="D71" s="79"/>
      <c r="E71" s="79"/>
      <c r="F71" s="79"/>
      <c r="G71" s="80"/>
      <c r="H71" s="117"/>
    </row>
    <row r="72" spans="2:14">
      <c r="B72" s="84"/>
      <c r="C72" s="2" t="s">
        <v>55</v>
      </c>
      <c r="D72" s="86">
        <f>(245*2*1.5)+(148*2.5*2.5)+(140*2*3.5)+(165*2.5*1.75)+(112*2.5*2)+(525*2.5*1.75)+2150</f>
        <v>8368.75</v>
      </c>
      <c r="E72" s="6" t="s">
        <v>58</v>
      </c>
      <c r="F72" s="77">
        <v>96.906337141238524</v>
      </c>
      <c r="G72" s="75">
        <f t="shared" ref="G72:G75" si="11">D72*F72</f>
        <v>810984.90895073989</v>
      </c>
      <c r="H72" s="117"/>
    </row>
    <row r="73" spans="2:14">
      <c r="B73" s="84"/>
      <c r="C73" s="2" t="s">
        <v>56</v>
      </c>
      <c r="D73" s="86">
        <f>198.5+24+63+14+12+11+231.5+150+235.485+11.265</f>
        <v>950.75</v>
      </c>
      <c r="E73" s="6" t="s">
        <v>58</v>
      </c>
      <c r="F73" s="77">
        <v>4576.9924799748396</v>
      </c>
      <c r="G73" s="75">
        <f t="shared" si="11"/>
        <v>4351575.6003360786</v>
      </c>
      <c r="H73" s="117"/>
      <c r="I73" s="112">
        <v>216</v>
      </c>
      <c r="K73" s="112">
        <v>210</v>
      </c>
      <c r="L73" s="113">
        <f>D73+D74</f>
        <v>8885.6500000000015</v>
      </c>
      <c r="M73" s="113">
        <f>L73-'[2]Nov-2024'!$D$61-'[2]Nov-2024'!$D$62</f>
        <v>4620.6500000000015</v>
      </c>
    </row>
    <row r="74" spans="2:14">
      <c r="B74" s="84"/>
      <c r="C74" s="2" t="s">
        <v>57</v>
      </c>
      <c r="D74" s="86">
        <f>1675+1209+2669+650+1250.63+385.425+95.845</f>
        <v>7934.9000000000005</v>
      </c>
      <c r="E74" s="6" t="s">
        <v>58</v>
      </c>
      <c r="F74" s="77">
        <v>5868.5286067881307</v>
      </c>
      <c r="G74" s="75">
        <f t="shared" si="11"/>
        <v>46566187.642003141</v>
      </c>
      <c r="H74" s="117"/>
      <c r="K74" s="112">
        <f>2300+615</f>
        <v>2915</v>
      </c>
    </row>
    <row r="75" spans="2:14">
      <c r="B75" s="84"/>
      <c r="C75" s="34" t="s">
        <v>100</v>
      </c>
      <c r="D75" s="86">
        <f>141+125+12+11+22+12.5+27.45+3</f>
        <v>353.95</v>
      </c>
      <c r="E75" s="6" t="s">
        <v>29</v>
      </c>
      <c r="F75" s="83">
        <v>75718.769116112453</v>
      </c>
      <c r="G75" s="75">
        <f t="shared" si="11"/>
        <v>26800658.328648001</v>
      </c>
      <c r="H75" s="117"/>
      <c r="K75" s="112">
        <v>250</v>
      </c>
    </row>
    <row r="76" spans="2:14">
      <c r="B76" s="84"/>
      <c r="C76" s="34"/>
      <c r="D76" s="86"/>
      <c r="E76" s="6"/>
      <c r="F76" s="83"/>
      <c r="G76" s="78"/>
      <c r="H76" s="117"/>
      <c r="N76" s="112">
        <f>245+148+140+165+112</f>
        <v>810</v>
      </c>
    </row>
    <row r="77" spans="2:14">
      <c r="B77" s="82">
        <v>11</v>
      </c>
      <c r="C77" s="34" t="s">
        <v>112</v>
      </c>
      <c r="D77" s="97">
        <v>2530</v>
      </c>
      <c r="E77" s="98" t="s">
        <v>106</v>
      </c>
      <c r="F77" s="83">
        <v>5058</v>
      </c>
      <c r="G77" s="78">
        <f>D77*F77</f>
        <v>12796740</v>
      </c>
      <c r="H77" s="117"/>
    </row>
    <row r="78" spans="2:14">
      <c r="B78" s="82">
        <v>12</v>
      </c>
      <c r="C78" s="34" t="s">
        <v>114</v>
      </c>
      <c r="D78" s="97">
        <v>7751</v>
      </c>
      <c r="E78" s="98" t="s">
        <v>106</v>
      </c>
      <c r="F78" s="83">
        <v>292</v>
      </c>
      <c r="G78" s="78">
        <f>D78*F78</f>
        <v>2263292</v>
      </c>
      <c r="H78" s="117"/>
    </row>
    <row r="79" spans="2:14">
      <c r="B79" s="82">
        <v>13</v>
      </c>
      <c r="C79" s="34" t="s">
        <v>113</v>
      </c>
      <c r="D79" s="97">
        <v>2500</v>
      </c>
      <c r="E79" s="98" t="s">
        <v>110</v>
      </c>
      <c r="F79" s="83">
        <v>1855</v>
      </c>
      <c r="G79" s="78">
        <f>D79*F79</f>
        <v>4637500</v>
      </c>
      <c r="H79" s="117"/>
    </row>
    <row r="80" spans="2:14">
      <c r="B80" s="84"/>
      <c r="C80" s="34"/>
      <c r="D80" s="97"/>
      <c r="E80" s="98"/>
      <c r="F80" s="83"/>
      <c r="G80" s="78"/>
      <c r="H80" s="117"/>
    </row>
    <row r="81" spans="2:13">
      <c r="B81" s="66"/>
      <c r="C81" s="69"/>
      <c r="D81" s="99"/>
      <c r="E81" s="100"/>
      <c r="F81" s="81"/>
      <c r="G81" s="101"/>
      <c r="H81" s="117"/>
    </row>
    <row r="82" spans="2:13">
      <c r="D82" s="102"/>
      <c r="E82" s="103">
        <f>G82/G83</f>
        <v>0.45629722561096048</v>
      </c>
      <c r="F82" s="104"/>
      <c r="G82" s="105">
        <f>SUM(G4:G79)</f>
        <v>2104579693.6854329</v>
      </c>
      <c r="M82" s="120">
        <v>0.20025294544225347</v>
      </c>
    </row>
    <row r="83" spans="2:13">
      <c r="D83" s="102"/>
      <c r="E83" s="96">
        <v>100</v>
      </c>
      <c r="F83" s="96"/>
      <c r="G83" s="106">
        <v>4612300000</v>
      </c>
    </row>
  </sheetData>
  <mergeCells count="2">
    <mergeCell ref="B1:G1"/>
    <mergeCell ref="A34:A35"/>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sheetPr>
    <tabColor rgb="FF00B050"/>
  </sheetPr>
  <dimension ref="A1:S82"/>
  <sheetViews>
    <sheetView view="pageBreakPreview" topLeftCell="B1" zoomScaleSheetLayoutView="100" workbookViewId="0">
      <selection activeCell="B1" sqref="A1:XFD1048576"/>
    </sheetView>
  </sheetViews>
  <sheetFormatPr defaultRowHeight="15"/>
  <cols>
    <col min="1" max="1" width="14.7109375" bestFit="1" customWidth="1"/>
    <col min="2" max="2" width="9.42578125" bestFit="1" customWidth="1"/>
    <col min="3" max="3" width="66.85546875" customWidth="1"/>
    <col min="4" max="4" width="12.28515625" customWidth="1"/>
    <col min="5" max="5" width="9.28515625" bestFit="1" customWidth="1"/>
    <col min="6" max="6" width="12.7109375" bestFit="1" customWidth="1"/>
    <col min="7" max="7" width="20.42578125" bestFit="1" customWidth="1"/>
    <col min="8" max="8" width="11.42578125" customWidth="1"/>
    <col min="9" max="11" width="10.7109375" hidden="1" customWidth="1"/>
    <col min="12" max="12" width="10.28515625" hidden="1" customWidth="1"/>
    <col min="13" max="13" width="9.28515625" hidden="1" customWidth="1"/>
    <col min="14" max="14" width="13.42578125" bestFit="1" customWidth="1"/>
    <col min="16" max="16" width="10.7109375" bestFit="1" customWidth="1"/>
  </cols>
  <sheetData>
    <row r="1" spans="2:14" ht="21">
      <c r="B1" s="390" t="s">
        <v>120</v>
      </c>
      <c r="C1" s="391"/>
      <c r="D1" s="391"/>
      <c r="E1" s="391"/>
      <c r="F1" s="391"/>
      <c r="G1" s="392"/>
    </row>
    <row r="2" spans="2:14" ht="18.75">
      <c r="B2" s="71" t="s">
        <v>14</v>
      </c>
      <c r="C2" s="71" t="s">
        <v>12</v>
      </c>
      <c r="D2" s="71" t="s">
        <v>1</v>
      </c>
      <c r="E2" s="71" t="s">
        <v>2</v>
      </c>
      <c r="F2" s="71" t="s">
        <v>16</v>
      </c>
      <c r="G2" s="71" t="s">
        <v>3</v>
      </c>
    </row>
    <row r="3" spans="2:14">
      <c r="B3" s="7"/>
      <c r="C3" s="46" t="s">
        <v>118</v>
      </c>
      <c r="D3" s="6"/>
      <c r="E3" s="6"/>
      <c r="F3" s="6"/>
      <c r="G3" s="6"/>
    </row>
    <row r="4" spans="2:14" ht="30">
      <c r="B4" s="6">
        <v>1</v>
      </c>
      <c r="C4" s="2" t="s">
        <v>0</v>
      </c>
      <c r="D4" s="6">
        <f>73+3.85+11.025+0.175+1.96+3.4+2.695+3.55+1.4+5.7+2.06+0.49+5.63+0.35+2.5+3.28+8.15+0.007</f>
        <v>129.22199999999998</v>
      </c>
      <c r="E4" s="6" t="s">
        <v>4</v>
      </c>
      <c r="F4" s="74">
        <v>30811.3</v>
      </c>
      <c r="G4" s="75">
        <f>D4*F4</f>
        <v>3981497.8085999992</v>
      </c>
    </row>
    <row r="5" spans="2:14" hidden="1">
      <c r="B5" s="6"/>
      <c r="C5" s="40" t="s">
        <v>60</v>
      </c>
      <c r="D5" s="6"/>
      <c r="E5" s="72" t="s">
        <v>61</v>
      </c>
      <c r="F5" s="28">
        <v>412.23394137652696</v>
      </c>
      <c r="G5" s="75">
        <f t="shared" ref="G5:G8" si="0">D5*F5</f>
        <v>0</v>
      </c>
    </row>
    <row r="6" spans="2:14" hidden="1">
      <c r="B6" s="6"/>
      <c r="C6" s="40" t="s">
        <v>62</v>
      </c>
      <c r="D6" s="6"/>
      <c r="E6" s="72" t="s">
        <v>61</v>
      </c>
      <c r="F6" s="28">
        <v>599.22665705247732</v>
      </c>
      <c r="G6" s="75">
        <f t="shared" si="0"/>
        <v>0</v>
      </c>
    </row>
    <row r="7" spans="2:14" hidden="1">
      <c r="B7" s="6"/>
      <c r="C7" s="40" t="s">
        <v>63</v>
      </c>
      <c r="D7" s="6"/>
      <c r="E7" s="72" t="s">
        <v>61</v>
      </c>
      <c r="F7" s="28">
        <v>1213.752718114805</v>
      </c>
      <c r="G7" s="75">
        <f t="shared" si="0"/>
        <v>0</v>
      </c>
    </row>
    <row r="8" spans="2:14" hidden="1">
      <c r="B8" s="6"/>
      <c r="C8" s="42" t="s">
        <v>64</v>
      </c>
      <c r="D8" s="6"/>
      <c r="E8" s="73" t="s">
        <v>61</v>
      </c>
      <c r="F8" s="28">
        <v>2395.2066944310372</v>
      </c>
      <c r="G8" s="75">
        <f t="shared" si="0"/>
        <v>0</v>
      </c>
    </row>
    <row r="9" spans="2:14" ht="75">
      <c r="B9" s="6">
        <v>2</v>
      </c>
      <c r="C9" s="2" t="s">
        <v>7</v>
      </c>
      <c r="D9" s="6"/>
      <c r="E9" s="6"/>
      <c r="F9" s="6"/>
      <c r="G9" s="75"/>
    </row>
    <row r="10" spans="2:14">
      <c r="B10" s="6"/>
      <c r="C10" s="1" t="s">
        <v>5</v>
      </c>
      <c r="D10" s="85">
        <f>451615+35000+118721.5+123043+36165+24201+373343+145166+98210+68110+34059+58305+65065+45690+49947+25468+246706-28300+187599+189268+19500+15745</f>
        <v>2382626.5</v>
      </c>
      <c r="E10" s="6" t="s">
        <v>6</v>
      </c>
      <c r="F10" s="6">
        <v>90.23</v>
      </c>
      <c r="G10" s="75">
        <f t="shared" ref="G10:G11" si="1">D10*F10</f>
        <v>214984389.095</v>
      </c>
      <c r="H10" s="60"/>
      <c r="I10" s="18">
        <v>14853</v>
      </c>
      <c r="K10" s="60">
        <v>60648</v>
      </c>
    </row>
    <row r="11" spans="2:14" ht="90">
      <c r="B11" s="6"/>
      <c r="C11" s="64" t="s">
        <v>97</v>
      </c>
      <c r="D11" s="85">
        <f>309791+2254+28300+20262+21455+4150</f>
        <v>386212</v>
      </c>
      <c r="E11" s="6" t="s">
        <v>6</v>
      </c>
      <c r="F11" s="6">
        <v>308.11</v>
      </c>
      <c r="G11" s="75">
        <f t="shared" si="1"/>
        <v>118995779.32000001</v>
      </c>
      <c r="H11" s="60"/>
      <c r="I11" s="18"/>
      <c r="J11" s="65"/>
      <c r="K11" s="60"/>
      <c r="N11" s="18"/>
    </row>
    <row r="12" spans="2:14" ht="30">
      <c r="B12" s="6">
        <v>3</v>
      </c>
      <c r="C12" s="2" t="s">
        <v>9</v>
      </c>
      <c r="D12" s="85"/>
      <c r="E12" s="6"/>
      <c r="F12" s="6"/>
      <c r="G12" s="75"/>
      <c r="K12" s="60"/>
      <c r="N12" s="92"/>
    </row>
    <row r="13" spans="2:14" ht="30">
      <c r="B13" s="6"/>
      <c r="C13" s="4" t="s">
        <v>8</v>
      </c>
      <c r="D13" s="85"/>
      <c r="E13" s="6"/>
      <c r="F13" s="6"/>
      <c r="G13" s="75"/>
    </row>
    <row r="14" spans="2:14">
      <c r="B14" s="6"/>
      <c r="C14" s="1" t="s">
        <v>10</v>
      </c>
      <c r="D14" s="85">
        <f>504480+79000+259382.35+112255.09+65531.025+80991.93+85622.67+15397.55+59540+69256+41670+60301+87875+21530+125240-22455+28453+19719+16390+17142+16475-15976+36795-19388</f>
        <v>1745227.615</v>
      </c>
      <c r="E14" s="6" t="s">
        <v>6</v>
      </c>
      <c r="F14" s="6">
        <v>96.91</v>
      </c>
      <c r="G14" s="75">
        <f t="shared" ref="G14:G15" si="2">D14*F14</f>
        <v>169130008.16964999</v>
      </c>
      <c r="H14" s="3"/>
      <c r="I14" s="18"/>
      <c r="J14" s="18"/>
      <c r="K14" s="62"/>
      <c r="N14" s="18"/>
    </row>
    <row r="15" spans="2:14">
      <c r="B15" s="6"/>
      <c r="C15" s="1" t="s">
        <v>38</v>
      </c>
      <c r="D15" s="85">
        <f>54904.65+54772.5+3320+22455+15976-6124+19355</f>
        <v>164659.15</v>
      </c>
      <c r="E15" s="6" t="s">
        <v>6</v>
      </c>
      <c r="F15" s="6">
        <v>249.23</v>
      </c>
      <c r="G15" s="75">
        <f t="shared" si="2"/>
        <v>41037999.954499997</v>
      </c>
      <c r="H15" s="3"/>
      <c r="I15" s="18"/>
      <c r="J15" s="18"/>
      <c r="K15" s="62"/>
    </row>
    <row r="16" spans="2:14" ht="25.5">
      <c r="B16" s="41">
        <v>4</v>
      </c>
      <c r="C16" s="42" t="s">
        <v>65</v>
      </c>
      <c r="D16" s="85"/>
      <c r="E16" s="6"/>
      <c r="F16" s="6"/>
      <c r="G16" s="75"/>
      <c r="H16" s="19"/>
      <c r="I16" s="18"/>
      <c r="J16" s="18"/>
    </row>
    <row r="17" spans="1:16">
      <c r="B17" s="41"/>
      <c r="C17" s="42" t="s">
        <v>94</v>
      </c>
      <c r="D17" s="85">
        <f>361490+6124+1754</f>
        <v>369368</v>
      </c>
      <c r="E17" s="6" t="s">
        <v>6</v>
      </c>
      <c r="F17" s="77">
        <v>249.2337246708139</v>
      </c>
      <c r="G17" s="75">
        <f t="shared" ref="G17:G20" si="3">D17*F17</f>
        <v>92058962.414209187</v>
      </c>
      <c r="H17" s="60">
        <v>361139</v>
      </c>
      <c r="I17" s="18">
        <v>18786</v>
      </c>
      <c r="J17" s="18"/>
      <c r="K17" s="60">
        <v>19192</v>
      </c>
      <c r="L17" s="18"/>
      <c r="N17" s="18">
        <f>2109700-D17</f>
        <v>1740332</v>
      </c>
    </row>
    <row r="18" spans="1:16" ht="25.5">
      <c r="B18" s="6">
        <v>5</v>
      </c>
      <c r="C18" s="40" t="s">
        <v>107</v>
      </c>
      <c r="D18" s="85">
        <f>46242.975+1125+6056+6287.6+955.7+1435</f>
        <v>62102.274999999994</v>
      </c>
      <c r="E18" s="6" t="s">
        <v>6</v>
      </c>
      <c r="F18" s="77">
        <v>1078.429300650386</v>
      </c>
      <c r="G18" s="75">
        <f t="shared" si="3"/>
        <v>66972912.997047946</v>
      </c>
      <c r="H18" s="60"/>
      <c r="I18" s="18">
        <f>32105+15173</f>
        <v>47278</v>
      </c>
      <c r="J18" s="18"/>
      <c r="K18" s="60">
        <v>5943</v>
      </c>
    </row>
    <row r="19" spans="1:16" ht="39" customHeight="1">
      <c r="B19" s="6"/>
      <c r="C19" s="40" t="s">
        <v>98</v>
      </c>
      <c r="D19" s="85">
        <f>12603+8072.225+1245+1478+5433.23+3054.76+1685+284.5</f>
        <v>33855.714999999997</v>
      </c>
      <c r="E19" s="6" t="s">
        <v>6</v>
      </c>
      <c r="F19" s="77">
        <v>1605.2049429494912</v>
      </c>
      <c r="G19" s="75">
        <f t="shared" si="3"/>
        <v>54345361.065089226</v>
      </c>
      <c r="H19" s="61"/>
      <c r="I19" s="18">
        <v>10591</v>
      </c>
      <c r="J19" s="18"/>
      <c r="K19" s="62">
        <v>1225</v>
      </c>
      <c r="N19">
        <v>11904.000000000002</v>
      </c>
    </row>
    <row r="20" spans="1:16" ht="39" customHeight="1">
      <c r="B20" s="6"/>
      <c r="C20" s="40" t="s">
        <v>101</v>
      </c>
      <c r="D20" s="85">
        <f>3883.75+1265+1123+3525.25+2211.8+705</f>
        <v>12713.8</v>
      </c>
      <c r="E20" s="6" t="s">
        <v>6</v>
      </c>
      <c r="F20" s="77">
        <v>1137.1086840767043</v>
      </c>
      <c r="G20" s="75">
        <f t="shared" si="3"/>
        <v>14456972.387614403</v>
      </c>
      <c r="H20" s="61"/>
      <c r="I20" s="18"/>
      <c r="J20" s="18"/>
      <c r="K20" s="62">
        <v>952</v>
      </c>
      <c r="N20">
        <v>8072.2249999999976</v>
      </c>
    </row>
    <row r="21" spans="1:16" ht="15.75">
      <c r="B21" s="6"/>
      <c r="C21" s="68" t="s">
        <v>102</v>
      </c>
      <c r="D21" s="85"/>
      <c r="E21" s="6"/>
      <c r="F21" s="77"/>
      <c r="G21" s="75"/>
      <c r="H21" s="61"/>
      <c r="I21" s="18"/>
      <c r="J21" s="18"/>
      <c r="K21" s="62"/>
    </row>
    <row r="22" spans="1:16" ht="39" customHeight="1">
      <c r="B22" s="6"/>
      <c r="C22" s="40" t="s">
        <v>103</v>
      </c>
      <c r="D22" s="85">
        <f>74356+10254+22040+13108</f>
        <v>119758</v>
      </c>
      <c r="E22" s="76" t="s">
        <v>106</v>
      </c>
      <c r="F22" s="77">
        <v>49.225000000000001</v>
      </c>
      <c r="G22" s="75">
        <f t="shared" ref="G22:G24" si="4">D22*F22</f>
        <v>5895087.5499999998</v>
      </c>
      <c r="H22" s="61">
        <v>30528</v>
      </c>
      <c r="I22" s="18"/>
      <c r="J22" s="18"/>
      <c r="K22" s="62"/>
    </row>
    <row r="23" spans="1:16" ht="39" customHeight="1">
      <c r="B23" s="6"/>
      <c r="C23" s="40" t="s">
        <v>104</v>
      </c>
      <c r="D23" s="85">
        <f>74356+10254+11136+15080</f>
        <v>110826</v>
      </c>
      <c r="E23" s="76" t="s">
        <v>106</v>
      </c>
      <c r="F23" s="77">
        <v>13.65</v>
      </c>
      <c r="G23" s="75">
        <f t="shared" si="4"/>
        <v>1512774.9000000001</v>
      </c>
      <c r="H23" s="61"/>
      <c r="I23" s="18"/>
      <c r="J23" s="18"/>
      <c r="K23" s="62"/>
    </row>
    <row r="24" spans="1:16" ht="39" customHeight="1">
      <c r="B24" s="6"/>
      <c r="C24" s="40" t="s">
        <v>105</v>
      </c>
      <c r="D24" s="85">
        <f>4207+125+141+1726.08+2506.51+882</f>
        <v>9587.59</v>
      </c>
      <c r="E24" s="76" t="s">
        <v>6</v>
      </c>
      <c r="F24" s="77">
        <v>9856.7824970557394</v>
      </c>
      <c r="G24" s="75">
        <f t="shared" si="4"/>
        <v>94502789.300946638</v>
      </c>
      <c r="H24" s="61"/>
      <c r="I24" s="18"/>
      <c r="J24" s="18"/>
      <c r="K24" s="62"/>
    </row>
    <row r="25" spans="1:16" ht="15.75">
      <c r="A25" s="56" t="s">
        <v>49</v>
      </c>
      <c r="B25" s="6"/>
      <c r="C25" s="47" t="s">
        <v>22</v>
      </c>
      <c r="D25" s="86"/>
      <c r="E25" s="6"/>
      <c r="F25" s="6"/>
      <c r="G25" s="78"/>
    </row>
    <row r="26" spans="1:16" ht="30">
      <c r="B26" s="6">
        <v>6</v>
      </c>
      <c r="C26" s="43" t="s">
        <v>13</v>
      </c>
      <c r="D26" s="6"/>
      <c r="E26" s="6"/>
      <c r="F26" s="6"/>
      <c r="G26" s="6"/>
    </row>
    <row r="27" spans="1:16">
      <c r="B27" s="1"/>
      <c r="C27" s="2" t="s">
        <v>11</v>
      </c>
      <c r="D27" s="85">
        <f>850+200+202.5+309+1476+700+1629.08+1644.5+168+222+401.45+252+458.8+2833.1+9285.836-4900+487.2+329.18+518.45+568.82+569.66+209.3+243.5+450+336.3+181.7+234.03+1463+2374+254+1748+1245+845</f>
        <v>27789.405999999999</v>
      </c>
      <c r="E27" s="6" t="s">
        <v>6</v>
      </c>
      <c r="F27" s="6">
        <v>96.91</v>
      </c>
      <c r="G27" s="75">
        <f t="shared" ref="G27:G30" si="5">D27*F27</f>
        <v>2693071.3354599997</v>
      </c>
      <c r="H27" s="60"/>
      <c r="I27" s="18"/>
    </row>
    <row r="28" spans="1:16" ht="45">
      <c r="B28" s="1"/>
      <c r="C28" s="2" t="s">
        <v>68</v>
      </c>
      <c r="D28" s="87">
        <f>205+68+194+108.5+74.1+136.85+24+233+235.3+54.5+68+7+6+112+368.5+250</f>
        <v>2144.75</v>
      </c>
      <c r="E28" s="6" t="s">
        <v>6</v>
      </c>
      <c r="F28" s="6">
        <v>4576.99</v>
      </c>
      <c r="G28" s="75">
        <f t="shared" si="5"/>
        <v>9816499.3025000002</v>
      </c>
      <c r="H28" s="60"/>
      <c r="I28" s="60">
        <v>65</v>
      </c>
      <c r="K28" s="60">
        <f>47+24</f>
        <v>71</v>
      </c>
      <c r="P28" s="20"/>
    </row>
    <row r="29" spans="1:16" ht="45">
      <c r="B29" s="1"/>
      <c r="C29" s="2" t="s">
        <v>73</v>
      </c>
      <c r="D29" s="85">
        <f>30.11+32+39+96.57+80+2768.53+265.2+1585.8+1488.05+2658.45+428.5+2551.56+2592.34+574+214</f>
        <v>15404.109999999999</v>
      </c>
      <c r="E29" s="6" t="s">
        <v>6</v>
      </c>
      <c r="F29" s="6">
        <v>5868.53</v>
      </c>
      <c r="G29" s="75">
        <f t="shared" si="5"/>
        <v>90399481.658299983</v>
      </c>
      <c r="H29" s="60"/>
      <c r="I29" s="60">
        <v>726</v>
      </c>
      <c r="K29" s="60">
        <f>490+431</f>
        <v>921</v>
      </c>
      <c r="N29">
        <f>368.5-31.5</f>
        <v>337</v>
      </c>
      <c r="P29" s="20"/>
    </row>
    <row r="30" spans="1:16" ht="45">
      <c r="B30" s="1"/>
      <c r="C30" s="2" t="s">
        <v>74</v>
      </c>
      <c r="D30" s="85">
        <f>168+138.041+124.151+3.886+3.594+0.536+1.14+9.255+2.227+2.382+12.457+35.72+5.551+16.04+35.819+7.862+4.444+31.304+25.001+2.619+3.385+0.119+5.72+10.328+24.446+213.827+5.759+0.9+4.2+7.656+13.888+6.093+8.113+7.436+36.812+29.308+2.046+1.554+1.706+9.883+2.25+5.808+21.855+6.382+4.499+204.199+1364+478+14+78+121+54.322876+121.6+91.25+10.49+35+48</f>
        <v>3683.8638759999999</v>
      </c>
      <c r="E30" s="6" t="s">
        <v>29</v>
      </c>
      <c r="F30" s="6">
        <v>75718.77</v>
      </c>
      <c r="G30" s="75">
        <f t="shared" si="5"/>
        <v>278937641.53815252</v>
      </c>
      <c r="H30" s="20"/>
      <c r="I30" s="60"/>
      <c r="K30" s="62">
        <v>250</v>
      </c>
    </row>
    <row r="31" spans="1:16" ht="38.25">
      <c r="B31" s="1"/>
      <c r="C31" s="27" t="s">
        <v>71</v>
      </c>
      <c r="D31" s="85"/>
      <c r="E31" s="6"/>
      <c r="F31" s="6"/>
      <c r="G31" s="78"/>
      <c r="K31" s="60"/>
    </row>
    <row r="32" spans="1:16">
      <c r="B32" s="1"/>
      <c r="C32" s="27" t="s">
        <v>70</v>
      </c>
      <c r="D32" s="85">
        <f>2551.56+2592.34+1380.7+65.8+744+125+65.8+33.6+87.5+1861.5+146.3+1245+152+75</f>
        <v>11126.099999999999</v>
      </c>
      <c r="E32" s="6" t="s">
        <v>6</v>
      </c>
      <c r="F32" s="28">
        <v>7285.8483949228903</v>
      </c>
      <c r="G32" s="75">
        <f>D32*F32</f>
        <v>81063077.82675156</v>
      </c>
      <c r="H32" s="60"/>
      <c r="I32" s="60">
        <v>375</v>
      </c>
      <c r="K32" s="60">
        <f>200+147</f>
        <v>347</v>
      </c>
    </row>
    <row r="33" spans="1:19" ht="18.75">
      <c r="A33" s="381" t="s">
        <v>93</v>
      </c>
      <c r="B33" s="6"/>
      <c r="C33" s="48" t="s">
        <v>26</v>
      </c>
      <c r="D33" s="86"/>
      <c r="E33" s="6"/>
      <c r="F33" s="6"/>
      <c r="G33" s="78"/>
    </row>
    <row r="34" spans="1:19" ht="30">
      <c r="A34" s="381"/>
      <c r="B34" s="6">
        <v>7</v>
      </c>
      <c r="C34" s="2" t="s">
        <v>13</v>
      </c>
      <c r="D34" s="6"/>
      <c r="E34" s="6"/>
      <c r="F34" s="6"/>
      <c r="G34" s="6"/>
    </row>
    <row r="35" spans="1:19" ht="15" customHeight="1">
      <c r="A35" s="57"/>
      <c r="B35" s="1"/>
      <c r="C35" s="2" t="s">
        <v>11</v>
      </c>
      <c r="D35" s="86">
        <f>6027+1895.4+5745+325+647+1288+3575</f>
        <v>19502.400000000001</v>
      </c>
      <c r="E35" s="6" t="s">
        <v>6</v>
      </c>
      <c r="F35" s="6">
        <v>112.79</v>
      </c>
      <c r="G35" s="75">
        <f>D35*F35</f>
        <v>2199675.6960000005</v>
      </c>
      <c r="H35" s="60"/>
      <c r="L35" s="18"/>
    </row>
    <row r="36" spans="1:19" ht="45">
      <c r="B36" s="1"/>
      <c r="C36" s="2" t="s">
        <v>75</v>
      </c>
      <c r="D36" s="86">
        <f>191+213+135+69.5+44.5+33.7+10+64.5+68.5</f>
        <v>829.7</v>
      </c>
      <c r="E36" s="6" t="s">
        <v>6</v>
      </c>
      <c r="F36" s="6">
        <v>4576.99</v>
      </c>
      <c r="G36" s="75">
        <f>D36*F36</f>
        <v>3797528.6030000001</v>
      </c>
      <c r="H36" s="60"/>
      <c r="I36" s="60">
        <v>187</v>
      </c>
      <c r="K36">
        <f>197+45</f>
        <v>242</v>
      </c>
      <c r="M36" s="18">
        <f>D36+D38+D39+D41+D42+D44+D45+D47</f>
        <v>15798.9</v>
      </c>
    </row>
    <row r="37" spans="1:19" ht="45">
      <c r="B37" s="1"/>
      <c r="C37" s="2" t="s">
        <v>76</v>
      </c>
      <c r="D37" s="86"/>
      <c r="E37" s="6"/>
      <c r="F37" s="6"/>
      <c r="G37" s="78"/>
      <c r="I37" s="60"/>
      <c r="M37" s="18">
        <f>M36-'[2]Nov-2024'!$L$32</f>
        <v>2183.8999999999996</v>
      </c>
    </row>
    <row r="38" spans="1:19">
      <c r="B38" s="1"/>
      <c r="C38" s="2" t="s">
        <v>77</v>
      </c>
      <c r="D38" s="86">
        <f>121+344+4812</f>
        <v>5277</v>
      </c>
      <c r="E38" s="6" t="s">
        <v>6</v>
      </c>
      <c r="F38" s="6">
        <v>5868.53</v>
      </c>
      <c r="G38" s="75">
        <f>D38*F38</f>
        <v>30968232.809999999</v>
      </c>
      <c r="H38" s="86">
        <f>241+120+513.5+542.83+1058.75+1184.8+534.3+177+639.2+2098.5+1680.5</f>
        <v>8790.380000000001</v>
      </c>
      <c r="I38" s="60">
        <v>226</v>
      </c>
      <c r="K38">
        <f>191+62</f>
        <v>253</v>
      </c>
      <c r="N38">
        <f>4794</f>
        <v>4794</v>
      </c>
      <c r="O38" s="18">
        <f>H38-N38</f>
        <v>3996.380000000001</v>
      </c>
    </row>
    <row r="39" spans="1:19">
      <c r="B39" s="1"/>
      <c r="C39" s="2" t="s">
        <v>78</v>
      </c>
      <c r="D39" s="86"/>
      <c r="E39" s="6" t="s">
        <v>6</v>
      </c>
      <c r="F39" s="6">
        <v>6025.2</v>
      </c>
      <c r="G39" s="78">
        <f>D39*F39</f>
        <v>0</v>
      </c>
      <c r="H39" s="86">
        <f>16*45+193+200.5+74+322.5+221.7+251.5+57.5+179+39.5+192.5</f>
        <v>2451.6999999999998</v>
      </c>
      <c r="I39" s="60">
        <v>24</v>
      </c>
      <c r="K39">
        <f>714+234</f>
        <v>948</v>
      </c>
    </row>
    <row r="40" spans="1:19" ht="45">
      <c r="B40" s="1"/>
      <c r="C40" s="2" t="s">
        <v>79</v>
      </c>
      <c r="D40" s="86"/>
      <c r="E40" s="6"/>
      <c r="F40" s="6"/>
      <c r="G40" s="78"/>
      <c r="H40" s="60"/>
      <c r="I40" s="60"/>
    </row>
    <row r="41" spans="1:19">
      <c r="B41" s="1"/>
      <c r="C41" s="2" t="s">
        <v>80</v>
      </c>
      <c r="D41" s="86">
        <f>4416+488.2</f>
        <v>4904.2</v>
      </c>
      <c r="E41" s="6" t="s">
        <v>6</v>
      </c>
      <c r="F41" s="77">
        <v>6577.18850085551</v>
      </c>
      <c r="G41" s="75">
        <f>D41*F41</f>
        <v>32255847.845895592</v>
      </c>
      <c r="H41" s="60"/>
      <c r="I41" s="60">
        <v>491</v>
      </c>
      <c r="K41">
        <f>433+48</f>
        <v>481</v>
      </c>
    </row>
    <row r="42" spans="1:19">
      <c r="B42" s="1"/>
      <c r="C42" s="2" t="s">
        <v>81</v>
      </c>
      <c r="D42" s="86"/>
      <c r="E42" s="6" t="s">
        <v>6</v>
      </c>
      <c r="F42" s="77">
        <v>6733.8606354961657</v>
      </c>
      <c r="G42" s="78">
        <f>F42*D42</f>
        <v>0</v>
      </c>
      <c r="H42" s="60"/>
      <c r="I42" s="60">
        <v>349</v>
      </c>
      <c r="K42">
        <f>190+41</f>
        <v>231</v>
      </c>
    </row>
    <row r="43" spans="1:19" ht="45">
      <c r="B43" s="1"/>
      <c r="C43" s="2" t="s">
        <v>82</v>
      </c>
      <c r="D43" s="86"/>
      <c r="E43" s="6"/>
      <c r="F43" s="6"/>
      <c r="G43" s="78"/>
      <c r="H43" s="60"/>
      <c r="I43" s="60"/>
    </row>
    <row r="44" spans="1:19">
      <c r="B44" s="1"/>
      <c r="C44" s="4" t="s">
        <v>83</v>
      </c>
      <c r="D44" s="86">
        <f>630+1260+490+325+333+1750</f>
        <v>4788</v>
      </c>
      <c r="E44" s="6" t="s">
        <v>6</v>
      </c>
      <c r="F44" s="77">
        <v>7285.8483949228903</v>
      </c>
      <c r="G44" s="75">
        <f>D44*F44</f>
        <v>34884642.114890799</v>
      </c>
      <c r="H44" s="60"/>
      <c r="I44" s="60">
        <v>28</v>
      </c>
      <c r="K44">
        <f>71.5+8.5</f>
        <v>80</v>
      </c>
      <c r="S44" s="62"/>
    </row>
    <row r="45" spans="1:19">
      <c r="B45" s="1"/>
      <c r="C45" s="4" t="s">
        <v>84</v>
      </c>
      <c r="D45" s="86"/>
      <c r="E45" s="6" t="s">
        <v>6</v>
      </c>
      <c r="F45" s="77">
        <v>7442.5205295635469</v>
      </c>
      <c r="G45" s="75">
        <f t="shared" ref="G45:G48" si="6">D45*F45</f>
        <v>0</v>
      </c>
      <c r="H45" s="60"/>
      <c r="I45" s="60">
        <v>420</v>
      </c>
      <c r="K45">
        <f>448+48</f>
        <v>496</v>
      </c>
    </row>
    <row r="46" spans="1:19">
      <c r="B46" s="1"/>
      <c r="C46" s="4" t="s">
        <v>108</v>
      </c>
      <c r="D46" s="86"/>
      <c r="E46" s="6" t="s">
        <v>6</v>
      </c>
      <c r="F46" s="28">
        <v>7595.9612256065384</v>
      </c>
      <c r="G46" s="75">
        <f t="shared" si="6"/>
        <v>0</v>
      </c>
      <c r="H46" s="60"/>
      <c r="I46" s="60"/>
    </row>
    <row r="47" spans="1:19">
      <c r="B47" s="1"/>
      <c r="C47" s="4" t="s">
        <v>85</v>
      </c>
      <c r="D47" s="86"/>
      <c r="E47" s="6" t="s">
        <v>6</v>
      </c>
      <c r="F47" s="77">
        <v>14450.319994474561</v>
      </c>
      <c r="G47" s="75">
        <f t="shared" si="6"/>
        <v>0</v>
      </c>
      <c r="H47" s="60"/>
      <c r="I47" s="60">
        <v>331</v>
      </c>
      <c r="K47">
        <f>7+275</f>
        <v>282</v>
      </c>
      <c r="N47" s="20">
        <f>D47+D44+D42+D41+D38+D36+D32+D29+D28</f>
        <v>44473.86</v>
      </c>
      <c r="S47" s="18"/>
    </row>
    <row r="48" spans="1:19" ht="45">
      <c r="B48" s="1"/>
      <c r="C48" s="2" t="s">
        <v>96</v>
      </c>
      <c r="D48" s="85">
        <f>978+111+111.6+121+354.6+121.5+87.4+225.3+65.8+122.1+74.5+65.3+121.4+25.6+66.8+21.5+24.85+32.25+25</f>
        <v>2755.5000000000005</v>
      </c>
      <c r="E48" s="6" t="s">
        <v>29</v>
      </c>
      <c r="F48" s="6">
        <v>75718.77</v>
      </c>
      <c r="G48" s="75">
        <f t="shared" si="6"/>
        <v>208643070.73500004</v>
      </c>
      <c r="H48" s="20"/>
      <c r="I48" s="60"/>
      <c r="K48" s="60">
        <v>200</v>
      </c>
    </row>
    <row r="49" spans="1:17" ht="18.75">
      <c r="A49" s="58" t="s">
        <v>50</v>
      </c>
      <c r="B49" s="6"/>
      <c r="C49" s="49" t="s">
        <v>43</v>
      </c>
      <c r="D49" s="86"/>
      <c r="E49" s="6"/>
      <c r="F49" s="6"/>
      <c r="G49" s="78"/>
    </row>
    <row r="50" spans="1:17" ht="30">
      <c r="A50" s="58"/>
      <c r="B50" s="6">
        <v>8</v>
      </c>
      <c r="C50" s="2" t="s">
        <v>13</v>
      </c>
      <c r="D50" s="6"/>
      <c r="E50" s="6"/>
      <c r="F50" s="6"/>
      <c r="G50" s="6"/>
    </row>
    <row r="51" spans="1:17">
      <c r="B51" s="1"/>
      <c r="C51" s="2" t="s">
        <v>11</v>
      </c>
      <c r="D51" s="86">
        <f>1017.9+1346.5+1945+2087+351+632</f>
        <v>7379.4</v>
      </c>
      <c r="E51" s="6" t="s">
        <v>6</v>
      </c>
      <c r="F51" s="6">
        <v>22751</v>
      </c>
      <c r="G51" s="75">
        <f t="shared" ref="G51:G52" si="7">D51*F51</f>
        <v>167888729.40000001</v>
      </c>
      <c r="H51" s="60"/>
      <c r="N51">
        <f>250*2*2.5</f>
        <v>1250</v>
      </c>
    </row>
    <row r="52" spans="1:17" ht="45">
      <c r="B52" s="1"/>
      <c r="C52" s="2" t="s">
        <v>75</v>
      </c>
      <c r="D52" s="93">
        <f>63.75+24.785+61.25+91.785</f>
        <v>241.57</v>
      </c>
      <c r="E52" s="6" t="s">
        <v>6</v>
      </c>
      <c r="F52" s="6">
        <v>1076</v>
      </c>
      <c r="G52" s="75">
        <f t="shared" si="7"/>
        <v>259929.32</v>
      </c>
      <c r="H52" s="60"/>
      <c r="I52" s="60">
        <v>65</v>
      </c>
      <c r="J52" s="60"/>
      <c r="K52">
        <f>70+16.8</f>
        <v>86.8</v>
      </c>
    </row>
    <row r="53" spans="1:17" ht="45">
      <c r="B53" s="1"/>
      <c r="C53" s="2" t="s">
        <v>76</v>
      </c>
      <c r="D53" s="86"/>
      <c r="E53" s="6"/>
      <c r="F53" s="6"/>
      <c r="G53" s="78"/>
      <c r="H53" s="60"/>
      <c r="I53" s="60"/>
      <c r="J53" s="60"/>
      <c r="N53">
        <v>1949.5299999999997</v>
      </c>
    </row>
    <row r="54" spans="1:17">
      <c r="B54" s="1"/>
      <c r="C54" s="2" t="s">
        <v>86</v>
      </c>
      <c r="D54" s="86"/>
      <c r="E54" s="6" t="s">
        <v>6</v>
      </c>
      <c r="F54" s="6">
        <v>3131</v>
      </c>
      <c r="G54" s="75">
        <f t="shared" ref="G54:G55" si="8">D54*F54</f>
        <v>0</v>
      </c>
      <c r="H54" s="60"/>
      <c r="I54" s="60"/>
      <c r="J54" s="60"/>
      <c r="N54" s="94">
        <f>N53-D55</f>
        <v>-883.44</v>
      </c>
    </row>
    <row r="55" spans="1:17">
      <c r="B55" s="1"/>
      <c r="C55" s="2" t="s">
        <v>87</v>
      </c>
      <c r="D55" s="86">
        <f>182.24+182.24+245.55+182.24+16*45+193+200.5+74+322.5+221.7+251.5+57.5</f>
        <v>2832.97</v>
      </c>
      <c r="E55" s="6" t="s">
        <v>6</v>
      </c>
      <c r="F55" s="6">
        <v>5985</v>
      </c>
      <c r="G55" s="75">
        <f t="shared" si="8"/>
        <v>16955325.449999999</v>
      </c>
      <c r="H55" s="60"/>
      <c r="I55" s="60">
        <v>161</v>
      </c>
      <c r="J55" s="60"/>
      <c r="K55" s="60">
        <v>160</v>
      </c>
      <c r="N55" s="18"/>
    </row>
    <row r="56" spans="1:17" ht="45">
      <c r="B56" s="1"/>
      <c r="C56" s="2" t="s">
        <v>88</v>
      </c>
      <c r="D56" s="86"/>
      <c r="E56" s="6"/>
      <c r="F56" s="6"/>
      <c r="G56" s="78"/>
      <c r="H56" s="60"/>
      <c r="I56" s="60"/>
      <c r="J56" s="60"/>
    </row>
    <row r="57" spans="1:17">
      <c r="B57" s="1"/>
      <c r="C57" s="2" t="s">
        <v>89</v>
      </c>
      <c r="D57" s="86"/>
      <c r="E57" s="6" t="s">
        <v>6</v>
      </c>
      <c r="F57" s="77">
        <v>6577.18850085551</v>
      </c>
      <c r="G57" s="75">
        <f t="shared" ref="G57:G58" si="9">D57*F57</f>
        <v>0</v>
      </c>
      <c r="H57" s="60"/>
      <c r="I57" s="60">
        <v>212</v>
      </c>
      <c r="J57" s="60"/>
      <c r="K57">
        <f>150+26</f>
        <v>176</v>
      </c>
    </row>
    <row r="58" spans="1:17">
      <c r="B58" s="1"/>
      <c r="C58" s="2" t="s">
        <v>90</v>
      </c>
      <c r="D58" s="86">
        <f>1157.26+116.5</f>
        <v>1273.76</v>
      </c>
      <c r="E58" s="6" t="s">
        <v>6</v>
      </c>
      <c r="F58" s="77">
        <v>6733.8606354961657</v>
      </c>
      <c r="G58" s="75">
        <f t="shared" si="9"/>
        <v>8577322.3230695967</v>
      </c>
      <c r="H58" s="60"/>
      <c r="I58" s="60">
        <v>46</v>
      </c>
      <c r="J58" s="60"/>
      <c r="K58">
        <v>125</v>
      </c>
    </row>
    <row r="59" spans="1:17" ht="45">
      <c r="B59" s="1"/>
      <c r="C59" s="2" t="s">
        <v>91</v>
      </c>
      <c r="D59" s="86"/>
      <c r="E59" s="6"/>
      <c r="F59" s="6"/>
      <c r="G59" s="78"/>
      <c r="H59" s="60"/>
      <c r="I59" s="60"/>
      <c r="J59" s="60"/>
      <c r="Q59" s="18"/>
    </row>
    <row r="60" spans="1:17">
      <c r="B60" s="1"/>
      <c r="C60" s="2" t="s">
        <v>83</v>
      </c>
      <c r="D60" s="86"/>
      <c r="E60" s="6" t="s">
        <v>6</v>
      </c>
      <c r="F60" s="77">
        <v>7285.8483949228903</v>
      </c>
      <c r="G60" s="75">
        <f t="shared" ref="G60:G64" si="10">D60*F60</f>
        <v>0</v>
      </c>
      <c r="H60" s="60"/>
      <c r="I60" s="60"/>
      <c r="J60" s="60"/>
    </row>
    <row r="61" spans="1:17">
      <c r="B61" s="1"/>
      <c r="C61" s="2" t="s">
        <v>84</v>
      </c>
      <c r="D61" s="86"/>
      <c r="E61" s="6" t="s">
        <v>6</v>
      </c>
      <c r="F61" s="77">
        <v>7442.5205295635469</v>
      </c>
      <c r="G61" s="75">
        <f t="shared" si="10"/>
        <v>0</v>
      </c>
      <c r="H61" s="60"/>
      <c r="I61" s="60">
        <v>233</v>
      </c>
      <c r="J61" s="60"/>
      <c r="K61">
        <v>163</v>
      </c>
    </row>
    <row r="62" spans="1:17">
      <c r="B62" s="1"/>
      <c r="C62" s="4" t="s">
        <v>108</v>
      </c>
      <c r="D62" s="86">
        <v>166</v>
      </c>
      <c r="E62" s="6" t="s">
        <v>6</v>
      </c>
      <c r="F62" s="28">
        <v>7595.9612256065384</v>
      </c>
      <c r="G62" s="75">
        <f t="shared" si="10"/>
        <v>1260929.5634506855</v>
      </c>
      <c r="H62" s="60"/>
      <c r="I62" s="60"/>
    </row>
    <row r="63" spans="1:17">
      <c r="B63" s="1"/>
      <c r="C63" s="40" t="s">
        <v>95</v>
      </c>
      <c r="D63" s="86">
        <f>550+2+650</f>
        <v>1202</v>
      </c>
      <c r="E63" s="6" t="s">
        <v>6</v>
      </c>
      <c r="F63" s="77">
        <v>14450.319994474561</v>
      </c>
      <c r="G63" s="75">
        <f t="shared" si="10"/>
        <v>17369284.633358423</v>
      </c>
      <c r="H63" s="60"/>
      <c r="I63" s="60">
        <v>265</v>
      </c>
      <c r="J63" s="60"/>
      <c r="K63">
        <v>159</v>
      </c>
    </row>
    <row r="64" spans="1:17" ht="45">
      <c r="B64" s="1"/>
      <c r="C64" s="2" t="s">
        <v>28</v>
      </c>
      <c r="D64" s="85">
        <f>(2.9*8)+(1.9*8)+(2.89*16)+(2.8*8)+(4.48*4)+(2.784*4)+(5.65*4)+25+12.5</f>
        <v>196.196</v>
      </c>
      <c r="E64" s="6" t="s">
        <v>29</v>
      </c>
      <c r="F64" s="6">
        <f>F48</f>
        <v>75718.77</v>
      </c>
      <c r="G64" s="75">
        <f t="shared" si="10"/>
        <v>14855719.79892</v>
      </c>
      <c r="H64" s="20"/>
      <c r="I64" s="60"/>
      <c r="K64" s="60">
        <v>180</v>
      </c>
    </row>
    <row r="65" spans="2:14" ht="45">
      <c r="B65" s="1"/>
      <c r="C65" s="2" t="s">
        <v>44</v>
      </c>
      <c r="D65" s="85"/>
      <c r="E65" s="6"/>
      <c r="F65" s="6"/>
      <c r="G65" s="78"/>
      <c r="H65" s="20"/>
    </row>
    <row r="66" spans="2:14">
      <c r="B66" s="82">
        <v>9</v>
      </c>
      <c r="C66" s="34" t="s">
        <v>109</v>
      </c>
      <c r="D66" s="86"/>
      <c r="E66" s="6"/>
      <c r="F66" s="83"/>
      <c r="G66" s="78"/>
      <c r="H66" s="63"/>
      <c r="K66" s="60"/>
    </row>
    <row r="67" spans="2:14">
      <c r="B67" s="84" t="s">
        <v>111</v>
      </c>
      <c r="C67" s="34" t="s">
        <v>116</v>
      </c>
      <c r="D67" s="86">
        <v>6215</v>
      </c>
      <c r="E67" s="6" t="s">
        <v>110</v>
      </c>
      <c r="F67" s="83">
        <v>2474.4146719115702</v>
      </c>
      <c r="G67" s="75">
        <f>D67*F67</f>
        <v>15378487.185930409</v>
      </c>
      <c r="H67" s="63"/>
      <c r="K67" s="60"/>
    </row>
    <row r="68" spans="2:14">
      <c r="B68" s="91" t="s">
        <v>121</v>
      </c>
      <c r="C68" s="34" t="s">
        <v>122</v>
      </c>
      <c r="D68" s="89">
        <v>1820</v>
      </c>
      <c r="E68" s="79" t="s">
        <v>110</v>
      </c>
      <c r="F68" s="90"/>
      <c r="G68" s="80"/>
      <c r="H68" s="63"/>
      <c r="K68" s="60"/>
    </row>
    <row r="69" spans="2:14" ht="21.75" customHeight="1">
      <c r="B69" s="88"/>
      <c r="C69" s="49" t="s">
        <v>115</v>
      </c>
      <c r="D69" s="89"/>
      <c r="E69" s="79"/>
      <c r="F69" s="90"/>
      <c r="G69" s="80"/>
      <c r="H69" s="63"/>
      <c r="K69" s="60"/>
    </row>
    <row r="70" spans="2:14" ht="45">
      <c r="B70" s="50">
        <v>10</v>
      </c>
      <c r="C70" s="2" t="s">
        <v>92</v>
      </c>
      <c r="D70" s="79"/>
      <c r="E70" s="79"/>
      <c r="F70" s="79"/>
      <c r="G70" s="80"/>
      <c r="H70" s="20"/>
    </row>
    <row r="71" spans="2:14">
      <c r="B71" s="84"/>
      <c r="C71" s="2" t="s">
        <v>55</v>
      </c>
      <c r="D71" s="86">
        <f>(245*2*1.5)+(148*2.5*2.5)+(140*2*3.5)+(165*2.5*1.75)+(112*2.5*2)+(525*2.5*1.75)+2150</f>
        <v>8368.75</v>
      </c>
      <c r="E71" s="6" t="s">
        <v>58</v>
      </c>
      <c r="F71" s="77">
        <v>96.906337141238524</v>
      </c>
      <c r="G71" s="75">
        <f t="shared" ref="G71:G74" si="11">D71*F71</f>
        <v>810984.90895073989</v>
      </c>
      <c r="H71" s="63"/>
    </row>
    <row r="72" spans="2:14">
      <c r="B72" s="84"/>
      <c r="C72" s="2" t="s">
        <v>56</v>
      </c>
      <c r="D72" s="86">
        <f>198.5+24+63+14+12+11+231.5+150</f>
        <v>704</v>
      </c>
      <c r="E72" s="6" t="s">
        <v>58</v>
      </c>
      <c r="F72" s="77">
        <v>4576.9924799748396</v>
      </c>
      <c r="G72" s="75">
        <f t="shared" si="11"/>
        <v>3222202.7059022873</v>
      </c>
      <c r="H72" s="63"/>
      <c r="I72">
        <v>216</v>
      </c>
      <c r="K72">
        <v>210</v>
      </c>
      <c r="L72" s="18">
        <f>D72+D73</f>
        <v>6907</v>
      </c>
      <c r="M72" s="18">
        <f>L72-'[2]Nov-2024'!$D$61-'[2]Nov-2024'!$D$62</f>
        <v>2642</v>
      </c>
    </row>
    <row r="73" spans="2:14">
      <c r="B73" s="84"/>
      <c r="C73" s="2" t="s">
        <v>57</v>
      </c>
      <c r="D73" s="86">
        <f>1675+1209+2669+650</f>
        <v>6203</v>
      </c>
      <c r="E73" s="6" t="s">
        <v>58</v>
      </c>
      <c r="F73" s="77">
        <v>5868.5286067881307</v>
      </c>
      <c r="G73" s="75">
        <f t="shared" si="11"/>
        <v>36402482.947906777</v>
      </c>
      <c r="H73" s="63"/>
      <c r="K73">
        <f>2300+615</f>
        <v>2915</v>
      </c>
    </row>
    <row r="74" spans="2:14">
      <c r="B74" s="84"/>
      <c r="C74" s="34" t="s">
        <v>100</v>
      </c>
      <c r="D74" s="86">
        <f>141+125+12+11+22+12.5+27.45</f>
        <v>350.95</v>
      </c>
      <c r="E74" s="6" t="s">
        <v>29</v>
      </c>
      <c r="F74" s="83">
        <v>75718.769116112453</v>
      </c>
      <c r="G74" s="75">
        <f t="shared" si="11"/>
        <v>26573502.021299664</v>
      </c>
      <c r="H74" s="63"/>
      <c r="K74" s="60">
        <v>250</v>
      </c>
    </row>
    <row r="75" spans="2:14">
      <c r="B75" s="84"/>
      <c r="C75" s="34"/>
      <c r="D75" s="86"/>
      <c r="E75" s="6"/>
      <c r="F75" s="83"/>
      <c r="G75" s="78"/>
      <c r="H75" s="63"/>
      <c r="K75" s="60"/>
      <c r="N75">
        <f>245+148+140+165+112</f>
        <v>810</v>
      </c>
    </row>
    <row r="76" spans="2:14">
      <c r="B76" s="82">
        <v>11</v>
      </c>
      <c r="C76" s="34" t="s">
        <v>112</v>
      </c>
      <c r="D76" s="97">
        <v>930</v>
      </c>
      <c r="E76" s="98" t="s">
        <v>106</v>
      </c>
      <c r="F76" s="83">
        <v>5058</v>
      </c>
      <c r="G76" s="78">
        <f>D76*F76</f>
        <v>4703940</v>
      </c>
      <c r="H76" s="63"/>
      <c r="K76" s="60"/>
    </row>
    <row r="77" spans="2:14">
      <c r="B77" s="82">
        <v>12</v>
      </c>
      <c r="C77" s="34" t="s">
        <v>114</v>
      </c>
      <c r="D77" s="97">
        <v>6540</v>
      </c>
      <c r="E77" s="98" t="s">
        <v>106</v>
      </c>
      <c r="F77" s="83">
        <v>292</v>
      </c>
      <c r="G77" s="78">
        <f>D77*F77</f>
        <v>1909680</v>
      </c>
      <c r="H77" s="63"/>
      <c r="K77" s="60"/>
    </row>
    <row r="78" spans="2:14">
      <c r="B78" s="82">
        <v>13</v>
      </c>
      <c r="C78" s="34" t="s">
        <v>113</v>
      </c>
      <c r="D78" s="97">
        <v>2.5</v>
      </c>
      <c r="E78" s="98" t="s">
        <v>110</v>
      </c>
      <c r="F78" s="83">
        <v>1855</v>
      </c>
      <c r="G78" s="78">
        <f>D78*F78</f>
        <v>4637.5</v>
      </c>
      <c r="H78" s="63"/>
      <c r="K78" s="60"/>
    </row>
    <row r="79" spans="2:14">
      <c r="B79" s="84"/>
      <c r="C79" s="34"/>
      <c r="D79" s="97"/>
      <c r="E79" s="98"/>
      <c r="F79" s="83"/>
      <c r="G79" s="78"/>
      <c r="H79" s="63"/>
      <c r="K79" s="60"/>
    </row>
    <row r="80" spans="2:14">
      <c r="B80" s="66"/>
      <c r="C80" s="69"/>
      <c r="D80" s="99"/>
      <c r="E80" s="100"/>
      <c r="F80" s="81"/>
      <c r="G80" s="101"/>
      <c r="H80" s="63"/>
      <c r="K80" s="60"/>
    </row>
    <row r="81" spans="4:13">
      <c r="D81" s="102"/>
      <c r="E81" s="103">
        <f>G81/G82</f>
        <v>0.42705514866496025</v>
      </c>
      <c r="F81" s="104"/>
      <c r="G81" s="105">
        <f>SUM(G4:G78)</f>
        <v>1969706462.187396</v>
      </c>
      <c r="M81" s="67">
        <v>0.20025294544225347</v>
      </c>
    </row>
    <row r="82" spans="4:13">
      <c r="D82" s="102"/>
      <c r="E82" s="96">
        <v>100</v>
      </c>
      <c r="F82" s="96"/>
      <c r="G82" s="106">
        <v>4612300000</v>
      </c>
    </row>
  </sheetData>
  <mergeCells count="2">
    <mergeCell ref="B1:G1"/>
    <mergeCell ref="A33:A34"/>
  </mergeCells>
  <printOptions horizontalCentered="1"/>
  <pageMargins left="0" right="0" top="0.19685039370078741" bottom="0" header="0.31496062992125984" footer="0.31496062992125984"/>
  <pageSetup paperSize="9" scale="75" orientation="portrait" r:id="rId1"/>
  <rowBreaks count="1" manualBreakCount="1">
    <brk id="39" min="1" max="6" man="1"/>
  </rowBreaks>
</worksheet>
</file>

<file path=xl/worksheets/sheet25.xml><?xml version="1.0" encoding="utf-8"?>
<worksheet xmlns="http://schemas.openxmlformats.org/spreadsheetml/2006/main" xmlns:r="http://schemas.openxmlformats.org/officeDocument/2006/relationships">
  <sheetPr>
    <tabColor rgb="FF00B050"/>
  </sheetPr>
  <dimension ref="A1:S82"/>
  <sheetViews>
    <sheetView view="pageBreakPreview" topLeftCell="B1" zoomScaleSheetLayoutView="100" workbookViewId="0">
      <selection activeCell="D11" sqref="D11"/>
    </sheetView>
  </sheetViews>
  <sheetFormatPr defaultRowHeight="15"/>
  <cols>
    <col min="1" max="1" width="14.7109375" bestFit="1" customWidth="1"/>
    <col min="2" max="2" width="9.42578125" bestFit="1" customWidth="1"/>
    <col min="3" max="3" width="66.85546875" customWidth="1"/>
    <col min="4" max="4" width="12.28515625" customWidth="1"/>
    <col min="5" max="5" width="9.28515625" bestFit="1" customWidth="1"/>
    <col min="6" max="6" width="12.7109375" bestFit="1" customWidth="1"/>
    <col min="7" max="7" width="20.42578125" bestFit="1" customWidth="1"/>
    <col min="8" max="8" width="11.42578125" customWidth="1"/>
    <col min="9" max="11" width="10.7109375" hidden="1" customWidth="1"/>
    <col min="12" max="12" width="10.28515625" hidden="1" customWidth="1"/>
    <col min="13" max="13" width="9.28515625" hidden="1" customWidth="1"/>
    <col min="14" max="14" width="13.42578125" bestFit="1" customWidth="1"/>
    <col min="16" max="16" width="10.7109375" bestFit="1" customWidth="1"/>
  </cols>
  <sheetData>
    <row r="1" spans="2:14" ht="21">
      <c r="B1" s="390" t="s">
        <v>119</v>
      </c>
      <c r="C1" s="391"/>
      <c r="D1" s="391"/>
      <c r="E1" s="391"/>
      <c r="F1" s="391"/>
      <c r="G1" s="392"/>
    </row>
    <row r="2" spans="2:14" ht="18.75">
      <c r="B2" s="71" t="s">
        <v>14</v>
      </c>
      <c r="C2" s="71" t="s">
        <v>12</v>
      </c>
      <c r="D2" s="71" t="s">
        <v>1</v>
      </c>
      <c r="E2" s="71" t="s">
        <v>2</v>
      </c>
      <c r="F2" s="71" t="s">
        <v>16</v>
      </c>
      <c r="G2" s="71" t="s">
        <v>3</v>
      </c>
    </row>
    <row r="3" spans="2:14">
      <c r="B3" s="7"/>
      <c r="C3" s="46" t="s">
        <v>118</v>
      </c>
      <c r="D3" s="6"/>
      <c r="E3" s="6"/>
      <c r="F3" s="6"/>
      <c r="G3" s="6"/>
    </row>
    <row r="4" spans="2:14" ht="30">
      <c r="B4" s="6">
        <v>1</v>
      </c>
      <c r="C4" s="2" t="s">
        <v>0</v>
      </c>
      <c r="D4" s="6">
        <f>73+3.85+11.025+0.175+1.96+3.4+2.695+3.55+1.4+5.7+2.06+0.49+5.63+0.35+2.5+3.28+8.15+0.007</f>
        <v>129.22199999999998</v>
      </c>
      <c r="E4" s="6" t="s">
        <v>4</v>
      </c>
      <c r="F4" s="74">
        <v>30811.3</v>
      </c>
      <c r="G4" s="75">
        <f>D4*F4</f>
        <v>3981497.8085999992</v>
      </c>
    </row>
    <row r="5" spans="2:14" hidden="1">
      <c r="B5" s="6"/>
      <c r="C5" s="40" t="s">
        <v>60</v>
      </c>
      <c r="D5" s="6"/>
      <c r="E5" s="72" t="s">
        <v>61</v>
      </c>
      <c r="F5" s="28">
        <v>412.23394137652696</v>
      </c>
      <c r="G5" s="75">
        <f t="shared" ref="G5:G8" si="0">D5*F5</f>
        <v>0</v>
      </c>
    </row>
    <row r="6" spans="2:14" hidden="1">
      <c r="B6" s="6"/>
      <c r="C6" s="40" t="s">
        <v>62</v>
      </c>
      <c r="D6" s="6"/>
      <c r="E6" s="72" t="s">
        <v>61</v>
      </c>
      <c r="F6" s="28">
        <v>599.22665705247732</v>
      </c>
      <c r="G6" s="75">
        <f t="shared" si="0"/>
        <v>0</v>
      </c>
    </row>
    <row r="7" spans="2:14" hidden="1">
      <c r="B7" s="6"/>
      <c r="C7" s="40" t="s">
        <v>63</v>
      </c>
      <c r="D7" s="6"/>
      <c r="E7" s="72" t="s">
        <v>61</v>
      </c>
      <c r="F7" s="28">
        <v>1213.752718114805</v>
      </c>
      <c r="G7" s="75">
        <f t="shared" si="0"/>
        <v>0</v>
      </c>
    </row>
    <row r="8" spans="2:14" hidden="1">
      <c r="B8" s="6"/>
      <c r="C8" s="42" t="s">
        <v>64</v>
      </c>
      <c r="D8" s="6"/>
      <c r="E8" s="73" t="s">
        <v>61</v>
      </c>
      <c r="F8" s="28">
        <v>2395.2066944310372</v>
      </c>
      <c r="G8" s="75">
        <f t="shared" si="0"/>
        <v>0</v>
      </c>
    </row>
    <row r="9" spans="2:14" ht="75">
      <c r="B9" s="6">
        <v>2</v>
      </c>
      <c r="C9" s="2" t="s">
        <v>7</v>
      </c>
      <c r="D9" s="6"/>
      <c r="E9" s="6"/>
      <c r="F9" s="6"/>
      <c r="G9" s="75"/>
    </row>
    <row r="10" spans="2:14">
      <c r="B10" s="6"/>
      <c r="C10" s="1" t="s">
        <v>5</v>
      </c>
      <c r="D10" s="85">
        <f>451615+35000+118721.5+123043+36165+24201+373343+145166+98210+68110+34059+58305+65065+45690+49947+25468+246706-28300+187599</f>
        <v>2158113.5</v>
      </c>
      <c r="E10" s="6" t="s">
        <v>6</v>
      </c>
      <c r="F10" s="6">
        <v>90.23</v>
      </c>
      <c r="G10" s="75">
        <f t="shared" ref="G10:G11" si="1">D10*F10</f>
        <v>194726581.10500002</v>
      </c>
      <c r="H10" s="60"/>
      <c r="I10" s="18">
        <v>14853</v>
      </c>
      <c r="K10" s="60">
        <v>60648</v>
      </c>
    </row>
    <row r="11" spans="2:14" ht="90">
      <c r="B11" s="6"/>
      <c r="C11" s="64" t="s">
        <v>97</v>
      </c>
      <c r="D11" s="85">
        <f>309791+2254+28300+20262</f>
        <v>360607</v>
      </c>
      <c r="E11" s="6" t="s">
        <v>6</v>
      </c>
      <c r="F11" s="6">
        <v>308.11</v>
      </c>
      <c r="G11" s="75">
        <f t="shared" si="1"/>
        <v>111106622.77000001</v>
      </c>
      <c r="H11" s="60"/>
      <c r="I11" s="18"/>
      <c r="J11" s="65"/>
      <c r="K11" s="60"/>
      <c r="N11" s="18"/>
    </row>
    <row r="12" spans="2:14" ht="30">
      <c r="B12" s="6">
        <v>3</v>
      </c>
      <c r="C12" s="2" t="s">
        <v>9</v>
      </c>
      <c r="D12" s="85"/>
      <c r="E12" s="6"/>
      <c r="F12" s="6"/>
      <c r="G12" s="75"/>
      <c r="K12" s="60"/>
      <c r="N12" s="92"/>
    </row>
    <row r="13" spans="2:14" ht="30">
      <c r="B13" s="6"/>
      <c r="C13" s="4" t="s">
        <v>8</v>
      </c>
      <c r="D13" s="85"/>
      <c r="E13" s="6"/>
      <c r="F13" s="6"/>
      <c r="G13" s="75"/>
    </row>
    <row r="14" spans="2:14">
      <c r="B14" s="6"/>
      <c r="C14" s="1" t="s">
        <v>10</v>
      </c>
      <c r="D14" s="85">
        <f>504480+79000+259382.35+112255.09+65531.025+80991.93+85622.67+15397.55+59540+69256+41670+60301+87875+21530+125240-22455+28453+19719+16390+17142+16475-15976</f>
        <v>1727820.615</v>
      </c>
      <c r="E14" s="6" t="s">
        <v>6</v>
      </c>
      <c r="F14" s="6">
        <v>96.91</v>
      </c>
      <c r="G14" s="75">
        <f t="shared" ref="G14:G15" si="2">D14*F14</f>
        <v>167443095.79964998</v>
      </c>
      <c r="H14" s="3"/>
      <c r="I14" s="18"/>
      <c r="J14" s="18"/>
      <c r="K14" s="62"/>
      <c r="N14" s="18"/>
    </row>
    <row r="15" spans="2:14">
      <c r="B15" s="6"/>
      <c r="C15" s="1" t="s">
        <v>38</v>
      </c>
      <c r="D15" s="85">
        <f>54904.65+54772.5+3320+22455+15976-6124</f>
        <v>145304.15</v>
      </c>
      <c r="E15" s="6" t="s">
        <v>6</v>
      </c>
      <c r="F15" s="6">
        <v>249.23</v>
      </c>
      <c r="G15" s="75">
        <f t="shared" si="2"/>
        <v>36214153.304499999</v>
      </c>
      <c r="H15" s="3"/>
      <c r="I15" s="18"/>
      <c r="J15" s="18"/>
      <c r="K15" s="62"/>
    </row>
    <row r="16" spans="2:14" ht="25.5">
      <c r="B16" s="41">
        <v>4</v>
      </c>
      <c r="C16" s="42" t="s">
        <v>65</v>
      </c>
      <c r="D16" s="85"/>
      <c r="E16" s="6"/>
      <c r="F16" s="6"/>
      <c r="G16" s="75"/>
      <c r="H16" s="19"/>
      <c r="I16" s="18"/>
      <c r="J16" s="18"/>
    </row>
    <row r="17" spans="1:16">
      <c r="B17" s="41"/>
      <c r="C17" s="42" t="s">
        <v>94</v>
      </c>
      <c r="D17" s="85">
        <f>361490+6124</f>
        <v>367614</v>
      </c>
      <c r="E17" s="6" t="s">
        <v>6</v>
      </c>
      <c r="F17" s="77">
        <v>249.2337246708139</v>
      </c>
      <c r="G17" s="75">
        <f t="shared" ref="G17:G20" si="3">D17*F17</f>
        <v>91621806.46113658</v>
      </c>
      <c r="H17" s="60">
        <v>361139</v>
      </c>
      <c r="I17" s="18">
        <v>18786</v>
      </c>
      <c r="J17" s="18"/>
      <c r="K17" s="60">
        <v>19192</v>
      </c>
      <c r="L17" s="18"/>
      <c r="N17" s="18">
        <f>2109700-D17</f>
        <v>1742086</v>
      </c>
    </row>
    <row r="18" spans="1:16" ht="25.5">
      <c r="B18" s="6">
        <v>5</v>
      </c>
      <c r="C18" s="40" t="s">
        <v>107</v>
      </c>
      <c r="D18" s="85">
        <f>46242.975+1125+6056+6287.6+955.7</f>
        <v>60667.274999999994</v>
      </c>
      <c r="E18" s="6" t="s">
        <v>6</v>
      </c>
      <c r="F18" s="77">
        <v>1078.429300650386</v>
      </c>
      <c r="G18" s="75">
        <f t="shared" si="3"/>
        <v>65425366.950614646</v>
      </c>
      <c r="H18" s="60"/>
      <c r="I18" s="18">
        <f>32105+15173</f>
        <v>47278</v>
      </c>
      <c r="J18" s="18"/>
      <c r="K18" s="60">
        <v>5943</v>
      </c>
    </row>
    <row r="19" spans="1:16" ht="39" customHeight="1">
      <c r="B19" s="6"/>
      <c r="C19" s="40" t="s">
        <v>98</v>
      </c>
      <c r="D19" s="85">
        <f>12603+8072.225+1245+1478+5433.23+3054.76</f>
        <v>31886.214999999997</v>
      </c>
      <c r="E19" s="6" t="s">
        <v>6</v>
      </c>
      <c r="F19" s="77">
        <v>1605.2049429494912</v>
      </c>
      <c r="G19" s="75">
        <f t="shared" si="3"/>
        <v>51183909.929950207</v>
      </c>
      <c r="H19" s="61"/>
      <c r="I19" s="18">
        <v>10591</v>
      </c>
      <c r="J19" s="18"/>
      <c r="K19" s="62">
        <v>1225</v>
      </c>
      <c r="N19">
        <v>11904.000000000002</v>
      </c>
    </row>
    <row r="20" spans="1:16" ht="39" customHeight="1">
      <c r="B20" s="6"/>
      <c r="C20" s="40" t="s">
        <v>101</v>
      </c>
      <c r="D20" s="85">
        <f>3883.75+1265+1123+3525.25+2211.8</f>
        <v>12008.8</v>
      </c>
      <c r="E20" s="6" t="s">
        <v>6</v>
      </c>
      <c r="F20" s="77">
        <v>1137.1086840767043</v>
      </c>
      <c r="G20" s="75">
        <f t="shared" si="3"/>
        <v>13655310.765340326</v>
      </c>
      <c r="H20" s="61"/>
      <c r="I20" s="18"/>
      <c r="J20" s="18"/>
      <c r="K20" s="62">
        <v>952</v>
      </c>
      <c r="N20">
        <v>8072.2249999999976</v>
      </c>
    </row>
    <row r="21" spans="1:16" ht="15.75">
      <c r="B21" s="6"/>
      <c r="C21" s="68" t="s">
        <v>102</v>
      </c>
      <c r="D21" s="85"/>
      <c r="E21" s="6"/>
      <c r="F21" s="77"/>
      <c r="G21" s="75"/>
      <c r="H21" s="61"/>
      <c r="I21" s="18"/>
      <c r="J21" s="18"/>
      <c r="K21" s="62"/>
    </row>
    <row r="22" spans="1:16" ht="39" customHeight="1">
      <c r="B22" s="6"/>
      <c r="C22" s="40" t="s">
        <v>103</v>
      </c>
      <c r="D22" s="85">
        <f>74356+10254+22040+13108</f>
        <v>119758</v>
      </c>
      <c r="E22" s="76" t="s">
        <v>106</v>
      </c>
      <c r="F22" s="77">
        <v>49.225000000000001</v>
      </c>
      <c r="G22" s="75">
        <f t="shared" ref="G22:G24" si="4">D22*F22</f>
        <v>5895087.5499999998</v>
      </c>
      <c r="H22" s="61">
        <v>30528</v>
      </c>
      <c r="I22" s="18"/>
      <c r="J22" s="18"/>
      <c r="K22" s="62"/>
    </row>
    <row r="23" spans="1:16" ht="39" customHeight="1">
      <c r="B23" s="6"/>
      <c r="C23" s="40" t="s">
        <v>104</v>
      </c>
      <c r="D23" s="85">
        <f>74356+10254+11136+15080</f>
        <v>110826</v>
      </c>
      <c r="E23" s="76" t="s">
        <v>106</v>
      </c>
      <c r="F23" s="77">
        <v>13.65</v>
      </c>
      <c r="G23" s="75">
        <f t="shared" si="4"/>
        <v>1512774.9000000001</v>
      </c>
      <c r="H23" s="61"/>
      <c r="I23" s="18"/>
      <c r="J23" s="18"/>
      <c r="K23" s="62"/>
    </row>
    <row r="24" spans="1:16" ht="39" customHeight="1">
      <c r="B24" s="6"/>
      <c r="C24" s="40" t="s">
        <v>105</v>
      </c>
      <c r="D24" s="85">
        <f>4207+125+141+1726.08+2506.51</f>
        <v>8705.59</v>
      </c>
      <c r="E24" s="76" t="s">
        <v>6</v>
      </c>
      <c r="F24" s="77">
        <v>9856.7824970557394</v>
      </c>
      <c r="G24" s="75">
        <f t="shared" si="4"/>
        <v>85809107.138543472</v>
      </c>
      <c r="H24" s="61"/>
      <c r="I24" s="18"/>
      <c r="J24" s="18"/>
      <c r="K24" s="62"/>
    </row>
    <row r="25" spans="1:16" ht="15.75">
      <c r="A25" s="56" t="s">
        <v>49</v>
      </c>
      <c r="B25" s="6"/>
      <c r="C25" s="47" t="s">
        <v>22</v>
      </c>
      <c r="D25" s="86"/>
      <c r="E25" s="6"/>
      <c r="F25" s="6"/>
      <c r="G25" s="78"/>
    </row>
    <row r="26" spans="1:16" ht="30">
      <c r="B26" s="6">
        <v>6</v>
      </c>
      <c r="C26" s="43" t="s">
        <v>13</v>
      </c>
      <c r="D26" s="6"/>
      <c r="E26" s="6"/>
      <c r="F26" s="6"/>
      <c r="G26" s="6"/>
    </row>
    <row r="27" spans="1:16">
      <c r="B27" s="1"/>
      <c r="C27" s="2" t="s">
        <v>11</v>
      </c>
      <c r="D27" s="85">
        <f>850+200+202.5+309+1476+700+1629.08+1644.5+168+222+401.45+252+458.8+2833.1+9285.836-4900+487.2+329.18+518.45+568.82+569.66+209.3+243.5+450+336.3+181.7+234.03+1463+2374+254+1748+1245</f>
        <v>26944.405999999999</v>
      </c>
      <c r="E27" s="6" t="s">
        <v>6</v>
      </c>
      <c r="F27" s="6">
        <v>96.91</v>
      </c>
      <c r="G27" s="75">
        <f t="shared" ref="G27:G30" si="5">D27*F27</f>
        <v>2611182.38546</v>
      </c>
      <c r="H27" s="60"/>
      <c r="I27" s="18"/>
    </row>
    <row r="28" spans="1:16" ht="45">
      <c r="B28" s="1"/>
      <c r="C28" s="2" t="s">
        <v>68</v>
      </c>
      <c r="D28" s="87">
        <f>205+68+194+108.5+74.1+136.85+24+233+235.3+54.5+68+7+6+112+368.5</f>
        <v>1894.75</v>
      </c>
      <c r="E28" s="6" t="s">
        <v>6</v>
      </c>
      <c r="F28" s="6">
        <v>4576.99</v>
      </c>
      <c r="G28" s="75">
        <f t="shared" si="5"/>
        <v>8672251.8025000002</v>
      </c>
      <c r="H28" s="60"/>
      <c r="I28" s="60">
        <v>65</v>
      </c>
      <c r="K28" s="60">
        <f>47+24</f>
        <v>71</v>
      </c>
      <c r="P28" s="20"/>
    </row>
    <row r="29" spans="1:16" ht="45">
      <c r="B29" s="1"/>
      <c r="C29" s="2" t="s">
        <v>73</v>
      </c>
      <c r="D29" s="85">
        <f>30.11+32+39+96.57+80+2768.53+265.2+1585.8+1488.05+2658.45+428.5+2551.56+2592.34+574</f>
        <v>15190.109999999999</v>
      </c>
      <c r="E29" s="6" t="s">
        <v>6</v>
      </c>
      <c r="F29" s="6">
        <v>5868.53</v>
      </c>
      <c r="G29" s="75">
        <f t="shared" si="5"/>
        <v>89143616.238299996</v>
      </c>
      <c r="H29" s="60"/>
      <c r="I29" s="60">
        <v>726</v>
      </c>
      <c r="K29" s="60">
        <f>490+431</f>
        <v>921</v>
      </c>
      <c r="N29">
        <f>368.5-31.5</f>
        <v>337</v>
      </c>
      <c r="P29" s="20"/>
    </row>
    <row r="30" spans="1:16" ht="45">
      <c r="B30" s="1"/>
      <c r="C30" s="2" t="s">
        <v>74</v>
      </c>
      <c r="D30" s="85">
        <f>168+138.041+124.151+3.886+3.594+0.536+1.14+9.255+2.227+2.382+12.457+35.72+5.551+16.04+35.819+7.862+4.444+31.304+25.001+2.619+3.385+0.119+5.72+10.328+24.446+213.827+5.759+0.9+4.2+7.656+13.888+6.093+8.113+7.436+36.812+29.308+2.046+1.554+1.706+9.883+2.25+5.808+21.855+6.382+4.499+204.199+1364+478+14+78+121+54.322876+121.6+91.25</f>
        <v>3590.3738760000001</v>
      </c>
      <c r="E30" s="6" t="s">
        <v>29</v>
      </c>
      <c r="F30" s="6">
        <v>75718.77</v>
      </c>
      <c r="G30" s="75">
        <f t="shared" si="5"/>
        <v>271858693.73085254</v>
      </c>
      <c r="H30" s="20"/>
      <c r="I30" s="60"/>
      <c r="K30" s="62">
        <v>250</v>
      </c>
    </row>
    <row r="31" spans="1:16" ht="38.25">
      <c r="B31" s="1"/>
      <c r="C31" s="27" t="s">
        <v>71</v>
      </c>
      <c r="D31" s="85"/>
      <c r="E31" s="6"/>
      <c r="F31" s="6"/>
      <c r="G31" s="78"/>
      <c r="K31" s="60"/>
    </row>
    <row r="32" spans="1:16">
      <c r="B32" s="1"/>
      <c r="C32" s="27" t="s">
        <v>70</v>
      </c>
      <c r="D32" s="85">
        <f>2551.56+2592.34+1380.7+65.8+744+125+65.8+33.6+87.5+1861.5+146.3+1245</f>
        <v>10899.099999999999</v>
      </c>
      <c r="E32" s="6" t="s">
        <v>6</v>
      </c>
      <c r="F32" s="28">
        <v>7285.8483949228903</v>
      </c>
      <c r="G32" s="75">
        <f>D32*F32</f>
        <v>79409190.241104066</v>
      </c>
      <c r="H32" s="60"/>
      <c r="I32" s="60">
        <v>375</v>
      </c>
      <c r="K32" s="60">
        <f>200+147</f>
        <v>347</v>
      </c>
    </row>
    <row r="33" spans="1:19" ht="18.75">
      <c r="A33" s="381" t="s">
        <v>93</v>
      </c>
      <c r="B33" s="6"/>
      <c r="C33" s="48" t="s">
        <v>26</v>
      </c>
      <c r="D33" s="86"/>
      <c r="E33" s="6"/>
      <c r="F33" s="6"/>
      <c r="G33" s="78"/>
    </row>
    <row r="34" spans="1:19" ht="30">
      <c r="A34" s="381"/>
      <c r="B34" s="6">
        <v>7</v>
      </c>
      <c r="C34" s="2" t="s">
        <v>13</v>
      </c>
      <c r="D34" s="6"/>
      <c r="E34" s="6"/>
      <c r="F34" s="6"/>
      <c r="G34" s="6"/>
    </row>
    <row r="35" spans="1:19" ht="15" customHeight="1">
      <c r="A35" s="57"/>
      <c r="B35" s="1"/>
      <c r="C35" s="2" t="s">
        <v>11</v>
      </c>
      <c r="D35" s="86">
        <f>6027+1895.4+5745+325+647+1288+3575</f>
        <v>19502.400000000001</v>
      </c>
      <c r="E35" s="6" t="s">
        <v>6</v>
      </c>
      <c r="F35" s="6">
        <v>112.79</v>
      </c>
      <c r="G35" s="75">
        <f>D35*F35</f>
        <v>2199675.6960000005</v>
      </c>
      <c r="H35" s="60"/>
      <c r="L35" s="18"/>
    </row>
    <row r="36" spans="1:19" ht="45">
      <c r="B36" s="1"/>
      <c r="C36" s="2" t="s">
        <v>75</v>
      </c>
      <c r="D36" s="86">
        <f>191+213+135+69.5+44.5+33.7+10+64.5+68.5</f>
        <v>829.7</v>
      </c>
      <c r="E36" s="6" t="s">
        <v>6</v>
      </c>
      <c r="F36" s="6">
        <v>4576.99</v>
      </c>
      <c r="G36" s="75">
        <f>D36*F36</f>
        <v>3797528.6030000001</v>
      </c>
      <c r="H36" s="60"/>
      <c r="I36" s="60">
        <v>187</v>
      </c>
      <c r="K36">
        <f>197+45</f>
        <v>242</v>
      </c>
      <c r="M36" s="18">
        <f>D36+D38+D39+D41+D42+D44+D45+D47</f>
        <v>14048.9</v>
      </c>
    </row>
    <row r="37" spans="1:19" ht="45">
      <c r="B37" s="1"/>
      <c r="C37" s="2" t="s">
        <v>76</v>
      </c>
      <c r="D37" s="86"/>
      <c r="E37" s="6"/>
      <c r="F37" s="6"/>
      <c r="G37" s="78"/>
      <c r="I37" s="60"/>
      <c r="M37" s="18">
        <f>M36-'[2]Nov-2024'!$L$32</f>
        <v>433.89999999999964</v>
      </c>
    </row>
    <row r="38" spans="1:19">
      <c r="B38" s="1"/>
      <c r="C38" s="2" t="s">
        <v>77</v>
      </c>
      <c r="D38" s="86">
        <f>121+344+4812</f>
        <v>5277</v>
      </c>
      <c r="E38" s="6" t="s">
        <v>6</v>
      </c>
      <c r="F38" s="6">
        <v>5868.53</v>
      </c>
      <c r="G38" s="75">
        <f>D38*F38</f>
        <v>30968232.809999999</v>
      </c>
      <c r="H38" s="86">
        <f>241+120+513.5+542.83+1058.75+1184.8+534.3+177+639.2+2098.5+1680.5</f>
        <v>8790.380000000001</v>
      </c>
      <c r="I38" s="60">
        <v>226</v>
      </c>
      <c r="K38">
        <f>191+62</f>
        <v>253</v>
      </c>
      <c r="N38">
        <f>4794</f>
        <v>4794</v>
      </c>
      <c r="O38" s="18">
        <f>H38-N38</f>
        <v>3996.380000000001</v>
      </c>
    </row>
    <row r="39" spans="1:19">
      <c r="B39" s="1"/>
      <c r="C39" s="2" t="s">
        <v>78</v>
      </c>
      <c r="D39" s="86"/>
      <c r="E39" s="6" t="s">
        <v>6</v>
      </c>
      <c r="F39" s="6">
        <v>6025.2</v>
      </c>
      <c r="G39" s="78">
        <f>D39*F39</f>
        <v>0</v>
      </c>
      <c r="H39" s="86">
        <f>16*45+193+200.5+74+322.5+221.7+251.5+57.5+179+39.5+192.5</f>
        <v>2451.6999999999998</v>
      </c>
      <c r="I39" s="60">
        <v>24</v>
      </c>
      <c r="K39">
        <f>714+234</f>
        <v>948</v>
      </c>
    </row>
    <row r="40" spans="1:19" ht="45">
      <c r="B40" s="1"/>
      <c r="C40" s="2" t="s">
        <v>79</v>
      </c>
      <c r="D40" s="86"/>
      <c r="E40" s="6"/>
      <c r="F40" s="6"/>
      <c r="G40" s="78"/>
      <c r="H40" s="60"/>
      <c r="I40" s="60"/>
    </row>
    <row r="41" spans="1:19">
      <c r="B41" s="1"/>
      <c r="C41" s="2" t="s">
        <v>80</v>
      </c>
      <c r="D41" s="86">
        <f>4416+488.2</f>
        <v>4904.2</v>
      </c>
      <c r="E41" s="6" t="s">
        <v>6</v>
      </c>
      <c r="F41" s="77">
        <v>6577.18850085551</v>
      </c>
      <c r="G41" s="75">
        <f>D41*F41</f>
        <v>32255847.845895592</v>
      </c>
      <c r="H41" s="60"/>
      <c r="I41" s="60">
        <v>491</v>
      </c>
      <c r="K41">
        <f>433+48</f>
        <v>481</v>
      </c>
    </row>
    <row r="42" spans="1:19">
      <c r="B42" s="1"/>
      <c r="C42" s="2" t="s">
        <v>81</v>
      </c>
      <c r="D42" s="86"/>
      <c r="E42" s="6" t="s">
        <v>6</v>
      </c>
      <c r="F42" s="77">
        <v>6733.8606354961657</v>
      </c>
      <c r="G42" s="78">
        <f>F42*D42</f>
        <v>0</v>
      </c>
      <c r="H42" s="60"/>
      <c r="I42" s="60">
        <v>349</v>
      </c>
      <c r="K42">
        <f>190+41</f>
        <v>231</v>
      </c>
    </row>
    <row r="43" spans="1:19" ht="45">
      <c r="B43" s="1"/>
      <c r="C43" s="2" t="s">
        <v>82</v>
      </c>
      <c r="D43" s="86"/>
      <c r="E43" s="6"/>
      <c r="F43" s="6"/>
      <c r="G43" s="78"/>
      <c r="H43" s="60"/>
      <c r="I43" s="60"/>
    </row>
    <row r="44" spans="1:19">
      <c r="B44" s="1"/>
      <c r="C44" s="4" t="s">
        <v>83</v>
      </c>
      <c r="D44" s="86">
        <f>630+1260+490+325+333</f>
        <v>3038</v>
      </c>
      <c r="E44" s="6" t="s">
        <v>6</v>
      </c>
      <c r="F44" s="77">
        <v>7285.8483949228903</v>
      </c>
      <c r="G44" s="75">
        <f>D44*F44</f>
        <v>22134407.42377574</v>
      </c>
      <c r="H44" s="60"/>
      <c r="I44" s="60">
        <v>28</v>
      </c>
      <c r="K44">
        <f>71.5+8.5</f>
        <v>80</v>
      </c>
      <c r="S44" s="62"/>
    </row>
    <row r="45" spans="1:19">
      <c r="B45" s="1"/>
      <c r="C45" s="4" t="s">
        <v>84</v>
      </c>
      <c r="D45" s="86"/>
      <c r="E45" s="6" t="s">
        <v>6</v>
      </c>
      <c r="F45" s="77">
        <v>7442.5205295635469</v>
      </c>
      <c r="G45" s="75">
        <f t="shared" ref="G45:G48" si="6">D45*F45</f>
        <v>0</v>
      </c>
      <c r="H45" s="60"/>
      <c r="I45" s="60">
        <v>420</v>
      </c>
      <c r="K45">
        <f>448+48</f>
        <v>496</v>
      </c>
    </row>
    <row r="46" spans="1:19">
      <c r="B46" s="1"/>
      <c r="C46" s="4" t="s">
        <v>108</v>
      </c>
      <c r="D46" s="86"/>
      <c r="E46" s="6" t="s">
        <v>6</v>
      </c>
      <c r="F46" s="28">
        <v>7595.9612256065384</v>
      </c>
      <c r="G46" s="75">
        <f t="shared" si="6"/>
        <v>0</v>
      </c>
      <c r="H46" s="60"/>
      <c r="I46" s="60"/>
    </row>
    <row r="47" spans="1:19">
      <c r="B47" s="1"/>
      <c r="C47" s="4" t="s">
        <v>85</v>
      </c>
      <c r="D47" s="86"/>
      <c r="E47" s="6" t="s">
        <v>6</v>
      </c>
      <c r="F47" s="77">
        <v>14450.319994474561</v>
      </c>
      <c r="G47" s="75">
        <f t="shared" si="6"/>
        <v>0</v>
      </c>
      <c r="H47" s="60"/>
      <c r="I47" s="60">
        <v>331</v>
      </c>
      <c r="K47">
        <f>7+275</f>
        <v>282</v>
      </c>
      <c r="N47" s="20">
        <f>D47+D44+D42+D41+D38+D36+D32+D29+D28</f>
        <v>42032.86</v>
      </c>
      <c r="S47" s="18"/>
    </row>
    <row r="48" spans="1:19" ht="45">
      <c r="B48" s="1"/>
      <c r="C48" s="2" t="s">
        <v>96</v>
      </c>
      <c r="D48" s="85">
        <f>978+111+111.6+121+354.6+121.5+87.4+225.3+65.8+122.1+74.5+65.3+121.4+25.6+66.8+21.5+24.85+32.25</f>
        <v>2730.5000000000005</v>
      </c>
      <c r="E48" s="6" t="s">
        <v>29</v>
      </c>
      <c r="F48" s="6">
        <v>75718.77</v>
      </c>
      <c r="G48" s="75">
        <f t="shared" si="6"/>
        <v>206750101.48500004</v>
      </c>
      <c r="H48" s="20"/>
      <c r="I48" s="60"/>
      <c r="K48" s="60">
        <v>200</v>
      </c>
    </row>
    <row r="49" spans="1:17" ht="18.75">
      <c r="A49" s="58" t="s">
        <v>50</v>
      </c>
      <c r="B49" s="6"/>
      <c r="C49" s="49" t="s">
        <v>43</v>
      </c>
      <c r="D49" s="86"/>
      <c r="E49" s="6"/>
      <c r="F49" s="6"/>
      <c r="G49" s="78"/>
    </row>
    <row r="50" spans="1:17" ht="30">
      <c r="A50" s="58"/>
      <c r="B50" s="6">
        <v>8</v>
      </c>
      <c r="C50" s="2" t="s">
        <v>13</v>
      </c>
      <c r="D50" s="6"/>
      <c r="E50" s="6"/>
      <c r="F50" s="6"/>
      <c r="G50" s="6"/>
    </row>
    <row r="51" spans="1:17">
      <c r="B51" s="1"/>
      <c r="C51" s="2" t="s">
        <v>11</v>
      </c>
      <c r="D51" s="86">
        <f>1017.9+1346.5+1945+2087+351+632</f>
        <v>7379.4</v>
      </c>
      <c r="E51" s="6" t="s">
        <v>6</v>
      </c>
      <c r="F51" s="6">
        <v>22751</v>
      </c>
      <c r="G51" s="75">
        <f t="shared" ref="G51:G52" si="7">D51*F51</f>
        <v>167888729.40000001</v>
      </c>
      <c r="H51" s="60"/>
      <c r="N51">
        <f>250*2*2.5</f>
        <v>1250</v>
      </c>
    </row>
    <row r="52" spans="1:17" ht="45">
      <c r="B52" s="1"/>
      <c r="C52" s="2" t="s">
        <v>75</v>
      </c>
      <c r="D52" s="93">
        <f>63.75+24.785+61.25+91.785</f>
        <v>241.57</v>
      </c>
      <c r="E52" s="6" t="s">
        <v>6</v>
      </c>
      <c r="F52" s="6">
        <v>1076</v>
      </c>
      <c r="G52" s="75">
        <f t="shared" si="7"/>
        <v>259929.32</v>
      </c>
      <c r="H52" s="60"/>
      <c r="I52" s="60">
        <v>65</v>
      </c>
      <c r="J52" s="60"/>
      <c r="K52">
        <f>70+16.8</f>
        <v>86.8</v>
      </c>
    </row>
    <row r="53" spans="1:17" ht="45">
      <c r="B53" s="1"/>
      <c r="C53" s="2" t="s">
        <v>76</v>
      </c>
      <c r="D53" s="86"/>
      <c r="E53" s="6"/>
      <c r="F53" s="6"/>
      <c r="G53" s="78"/>
      <c r="H53" s="60"/>
      <c r="I53" s="60"/>
      <c r="J53" s="60"/>
      <c r="N53">
        <v>1949.5299999999997</v>
      </c>
    </row>
    <row r="54" spans="1:17">
      <c r="B54" s="1"/>
      <c r="C54" s="2" t="s">
        <v>86</v>
      </c>
      <c r="D54" s="86"/>
      <c r="E54" s="6" t="s">
        <v>6</v>
      </c>
      <c r="F54" s="6">
        <v>3131</v>
      </c>
      <c r="G54" s="75">
        <f t="shared" ref="G54:G55" si="8">D54*F54</f>
        <v>0</v>
      </c>
      <c r="H54" s="60"/>
      <c r="I54" s="60"/>
      <c r="J54" s="60"/>
      <c r="N54" s="94">
        <f>N53-D55</f>
        <v>-883.44</v>
      </c>
    </row>
    <row r="55" spans="1:17">
      <c r="B55" s="1"/>
      <c r="C55" s="2" t="s">
        <v>87</v>
      </c>
      <c r="D55" s="86">
        <f>182.24+182.24+245.55+182.24+16*45+193+200.5+74+322.5+221.7+251.5+57.5</f>
        <v>2832.97</v>
      </c>
      <c r="E55" s="6" t="s">
        <v>6</v>
      </c>
      <c r="F55" s="6">
        <v>5985</v>
      </c>
      <c r="G55" s="75">
        <f t="shared" si="8"/>
        <v>16955325.449999999</v>
      </c>
      <c r="H55" s="60"/>
      <c r="I55" s="60">
        <v>161</v>
      </c>
      <c r="J55" s="60"/>
      <c r="K55" s="60">
        <v>160</v>
      </c>
      <c r="N55" s="18"/>
    </row>
    <row r="56" spans="1:17" ht="45">
      <c r="B56" s="1"/>
      <c r="C56" s="2" t="s">
        <v>88</v>
      </c>
      <c r="D56" s="86"/>
      <c r="E56" s="6"/>
      <c r="F56" s="6"/>
      <c r="G56" s="78"/>
      <c r="H56" s="60"/>
      <c r="I56" s="60"/>
      <c r="J56" s="60"/>
    </row>
    <row r="57" spans="1:17">
      <c r="B57" s="1"/>
      <c r="C57" s="2" t="s">
        <v>89</v>
      </c>
      <c r="D57" s="86"/>
      <c r="E57" s="6" t="s">
        <v>6</v>
      </c>
      <c r="F57" s="77">
        <v>6577.18850085551</v>
      </c>
      <c r="G57" s="75">
        <f t="shared" ref="G57:G58" si="9">D57*F57</f>
        <v>0</v>
      </c>
      <c r="H57" s="60"/>
      <c r="I57" s="60">
        <v>212</v>
      </c>
      <c r="J57" s="60"/>
      <c r="K57">
        <f>150+26</f>
        <v>176</v>
      </c>
    </row>
    <row r="58" spans="1:17">
      <c r="B58" s="1"/>
      <c r="C58" s="2" t="s">
        <v>90</v>
      </c>
      <c r="D58" s="86">
        <f>1157.26+116.5</f>
        <v>1273.76</v>
      </c>
      <c r="E58" s="6" t="s">
        <v>6</v>
      </c>
      <c r="F58" s="77">
        <v>6733.8606354961657</v>
      </c>
      <c r="G58" s="75">
        <f t="shared" si="9"/>
        <v>8577322.3230695967</v>
      </c>
      <c r="H58" s="60"/>
      <c r="I58" s="60">
        <v>46</v>
      </c>
      <c r="J58" s="60"/>
      <c r="K58">
        <v>125</v>
      </c>
    </row>
    <row r="59" spans="1:17" ht="45">
      <c r="B59" s="1"/>
      <c r="C59" s="2" t="s">
        <v>91</v>
      </c>
      <c r="D59" s="86"/>
      <c r="E59" s="6"/>
      <c r="F59" s="6"/>
      <c r="G59" s="78"/>
      <c r="H59" s="60"/>
      <c r="I59" s="60"/>
      <c r="J59" s="60"/>
      <c r="Q59" s="18"/>
    </row>
    <row r="60" spans="1:17">
      <c r="B60" s="1"/>
      <c r="C60" s="2" t="s">
        <v>83</v>
      </c>
      <c r="D60" s="86"/>
      <c r="E60" s="6" t="s">
        <v>6</v>
      </c>
      <c r="F60" s="77">
        <v>7285.8483949228903</v>
      </c>
      <c r="G60" s="75">
        <f t="shared" ref="G60:G64" si="10">D60*F60</f>
        <v>0</v>
      </c>
      <c r="H60" s="60"/>
      <c r="I60" s="60"/>
      <c r="J60" s="60"/>
    </row>
    <row r="61" spans="1:17">
      <c r="B61" s="1"/>
      <c r="C61" s="2" t="s">
        <v>84</v>
      </c>
      <c r="D61" s="86"/>
      <c r="E61" s="6" t="s">
        <v>6</v>
      </c>
      <c r="F61" s="77">
        <v>7442.5205295635469</v>
      </c>
      <c r="G61" s="75">
        <f t="shared" si="10"/>
        <v>0</v>
      </c>
      <c r="H61" s="60"/>
      <c r="I61" s="60">
        <v>233</v>
      </c>
      <c r="J61" s="60"/>
      <c r="K61">
        <v>163</v>
      </c>
    </row>
    <row r="62" spans="1:17">
      <c r="B62" s="1"/>
      <c r="C62" s="4" t="s">
        <v>108</v>
      </c>
      <c r="D62" s="86">
        <v>166</v>
      </c>
      <c r="E62" s="6" t="s">
        <v>6</v>
      </c>
      <c r="F62" s="28">
        <v>7595.9612256065384</v>
      </c>
      <c r="G62" s="75">
        <f t="shared" si="10"/>
        <v>1260929.5634506855</v>
      </c>
      <c r="H62" s="60"/>
      <c r="I62" s="60"/>
    </row>
    <row r="63" spans="1:17">
      <c r="B63" s="1"/>
      <c r="C63" s="40" t="s">
        <v>95</v>
      </c>
      <c r="D63" s="86">
        <f>550+2</f>
        <v>552</v>
      </c>
      <c r="E63" s="6" t="s">
        <v>6</v>
      </c>
      <c r="F63" s="77">
        <v>14450.319994474561</v>
      </c>
      <c r="G63" s="75">
        <f t="shared" si="10"/>
        <v>7976576.6369499573</v>
      </c>
      <c r="H63" s="60"/>
      <c r="I63" s="60">
        <v>265</v>
      </c>
      <c r="J63" s="60"/>
      <c r="K63">
        <v>159</v>
      </c>
    </row>
    <row r="64" spans="1:17" ht="45">
      <c r="B64" s="1"/>
      <c r="C64" s="2" t="s">
        <v>28</v>
      </c>
      <c r="D64" s="85">
        <f>(2.9*8)+(1.9*8)+(2.89*16)+(2.8*8)+(4.48*4)+(2.784*4)+(5.65*4)+25</f>
        <v>183.696</v>
      </c>
      <c r="E64" s="6" t="s">
        <v>29</v>
      </c>
      <c r="F64" s="6">
        <f>F48</f>
        <v>75718.77</v>
      </c>
      <c r="G64" s="75">
        <f t="shared" si="10"/>
        <v>13909235.17392</v>
      </c>
      <c r="H64" s="20"/>
      <c r="I64" s="60"/>
      <c r="K64" s="60">
        <v>180</v>
      </c>
    </row>
    <row r="65" spans="2:14" ht="45">
      <c r="B65" s="1"/>
      <c r="C65" s="2" t="s">
        <v>44</v>
      </c>
      <c r="D65" s="85"/>
      <c r="E65" s="6"/>
      <c r="F65" s="6"/>
      <c r="G65" s="78"/>
      <c r="H65" s="20"/>
    </row>
    <row r="66" spans="2:14">
      <c r="B66" s="82">
        <v>9</v>
      </c>
      <c r="C66" s="34" t="s">
        <v>109</v>
      </c>
      <c r="D66" s="86"/>
      <c r="E66" s="6"/>
      <c r="F66" s="83"/>
      <c r="G66" s="78"/>
      <c r="H66" s="63"/>
      <c r="K66" s="60"/>
    </row>
    <row r="67" spans="2:14">
      <c r="B67" s="84" t="s">
        <v>111</v>
      </c>
      <c r="C67" s="34" t="s">
        <v>116</v>
      </c>
      <c r="D67" s="86">
        <v>3542</v>
      </c>
      <c r="E67" s="6" t="s">
        <v>110</v>
      </c>
      <c r="F67" s="83">
        <v>2474.4146719115702</v>
      </c>
      <c r="G67" s="75">
        <f>D67*F67</f>
        <v>8764376.7679107822</v>
      </c>
      <c r="H67" s="63"/>
      <c r="K67" s="60"/>
    </row>
    <row r="68" spans="2:14">
      <c r="B68" s="91"/>
      <c r="C68" s="34"/>
      <c r="D68" s="89"/>
      <c r="E68" s="79"/>
      <c r="F68" s="90"/>
      <c r="G68" s="80"/>
      <c r="H68" s="63"/>
      <c r="K68" s="60"/>
    </row>
    <row r="69" spans="2:14" ht="21.75" customHeight="1">
      <c r="B69" s="88"/>
      <c r="C69" s="49" t="s">
        <v>115</v>
      </c>
      <c r="D69" s="89"/>
      <c r="E69" s="79"/>
      <c r="F69" s="90"/>
      <c r="G69" s="80"/>
      <c r="H69" s="63"/>
      <c r="K69" s="60"/>
    </row>
    <row r="70" spans="2:14" ht="45">
      <c r="B70" s="50">
        <v>10</v>
      </c>
      <c r="C70" s="2" t="s">
        <v>92</v>
      </c>
      <c r="D70" s="79"/>
      <c r="E70" s="79"/>
      <c r="F70" s="79"/>
      <c r="G70" s="80"/>
      <c r="H70" s="20"/>
    </row>
    <row r="71" spans="2:14">
      <c r="B71" s="84"/>
      <c r="C71" s="2" t="s">
        <v>55</v>
      </c>
      <c r="D71" s="86">
        <f>(245*2*1.5)+(148*2.5*2.5)+(140*2*3.5)+(165*2.5*1.75)+(112*2.5*2)+(525*2.5*1.75)</f>
        <v>6218.75</v>
      </c>
      <c r="E71" s="6" t="s">
        <v>58</v>
      </c>
      <c r="F71" s="77">
        <v>96.906337141238524</v>
      </c>
      <c r="G71" s="75">
        <f t="shared" ref="G71:G74" si="11">D71*F71</f>
        <v>602636.28409707709</v>
      </c>
      <c r="H71" s="63"/>
    </row>
    <row r="72" spans="2:14">
      <c r="B72" s="84"/>
      <c r="C72" s="2" t="s">
        <v>56</v>
      </c>
      <c r="D72" s="86">
        <f>198.5+24+63+14+12+11+231.5</f>
        <v>554</v>
      </c>
      <c r="E72" s="6" t="s">
        <v>58</v>
      </c>
      <c r="F72" s="77">
        <v>4576.9924799748396</v>
      </c>
      <c r="G72" s="75">
        <f t="shared" si="11"/>
        <v>2535653.833906061</v>
      </c>
      <c r="H72" s="63"/>
      <c r="I72">
        <v>216</v>
      </c>
      <c r="K72">
        <v>210</v>
      </c>
      <c r="L72" s="18">
        <f>D72+D73</f>
        <v>6107</v>
      </c>
      <c r="M72" s="18">
        <f>L72-'[2]Nov-2024'!$D$61-'[2]Nov-2024'!$D$62</f>
        <v>1842</v>
      </c>
    </row>
    <row r="73" spans="2:14">
      <c r="B73" s="84"/>
      <c r="C73" s="2" t="s">
        <v>57</v>
      </c>
      <c r="D73" s="86">
        <f>1675+1209+2669</f>
        <v>5553</v>
      </c>
      <c r="E73" s="6" t="s">
        <v>58</v>
      </c>
      <c r="F73" s="77">
        <v>5868.5286067881307</v>
      </c>
      <c r="G73" s="75">
        <f t="shared" si="11"/>
        <v>32587939.353494491</v>
      </c>
      <c r="H73" s="63"/>
      <c r="K73">
        <f>2300+615</f>
        <v>2915</v>
      </c>
    </row>
    <row r="74" spans="2:14">
      <c r="B74" s="84"/>
      <c r="C74" s="34" t="s">
        <v>100</v>
      </c>
      <c r="D74" s="86">
        <f>141+125+12+11+22+12.5</f>
        <v>323.5</v>
      </c>
      <c r="E74" s="6" t="s">
        <v>29</v>
      </c>
      <c r="F74" s="83">
        <v>75718.769116112453</v>
      </c>
      <c r="G74" s="75">
        <f t="shared" si="11"/>
        <v>24495021.80906238</v>
      </c>
      <c r="H74" s="63"/>
      <c r="K74" s="60">
        <v>250</v>
      </c>
    </row>
    <row r="75" spans="2:14">
      <c r="B75" s="84"/>
      <c r="C75" s="34"/>
      <c r="D75" s="86"/>
      <c r="E75" s="6"/>
      <c r="F75" s="83"/>
      <c r="G75" s="78"/>
      <c r="H75" s="63"/>
      <c r="K75" s="60"/>
      <c r="N75">
        <f>245+148+140+165+112</f>
        <v>810</v>
      </c>
    </row>
    <row r="76" spans="2:14">
      <c r="B76" s="82">
        <v>11</v>
      </c>
      <c r="C76" s="34" t="s">
        <v>112</v>
      </c>
      <c r="D76" s="97"/>
      <c r="E76" s="98" t="s">
        <v>106</v>
      </c>
      <c r="F76" s="83">
        <v>5058</v>
      </c>
      <c r="G76" s="78">
        <f>D76*F76</f>
        <v>0</v>
      </c>
      <c r="H76" s="63"/>
      <c r="K76" s="60"/>
    </row>
    <row r="77" spans="2:14">
      <c r="B77" s="82">
        <v>12</v>
      </c>
      <c r="C77" s="34" t="s">
        <v>114</v>
      </c>
      <c r="D77" s="97">
        <v>3978.29</v>
      </c>
      <c r="E77" s="98" t="s">
        <v>106</v>
      </c>
      <c r="F77" s="83">
        <v>292</v>
      </c>
      <c r="G77" s="78">
        <f>D77*F77</f>
        <v>1161660.68</v>
      </c>
      <c r="H77" s="63"/>
      <c r="K77" s="60"/>
    </row>
    <row r="78" spans="2:14">
      <c r="B78" s="82">
        <v>13</v>
      </c>
      <c r="C78" s="34" t="s">
        <v>113</v>
      </c>
      <c r="D78" s="97">
        <v>1360</v>
      </c>
      <c r="E78" s="98" t="s">
        <v>110</v>
      </c>
      <c r="F78" s="83">
        <v>1855</v>
      </c>
      <c r="G78" s="78">
        <f>D78*F78</f>
        <v>2522800</v>
      </c>
      <c r="H78" s="63"/>
      <c r="K78" s="60"/>
    </row>
    <row r="79" spans="2:14">
      <c r="B79" s="84"/>
      <c r="C79" s="34"/>
      <c r="D79" s="97"/>
      <c r="E79" s="98"/>
      <c r="F79" s="83"/>
      <c r="G79" s="78"/>
      <c r="H79" s="63"/>
      <c r="K79" s="60"/>
    </row>
    <row r="80" spans="2:14">
      <c r="B80" s="66"/>
      <c r="C80" s="69"/>
      <c r="D80" s="99"/>
      <c r="E80" s="100"/>
      <c r="F80" s="81"/>
      <c r="G80" s="101"/>
      <c r="H80" s="63"/>
      <c r="K80" s="60"/>
    </row>
    <row r="81" spans="4:13">
      <c r="D81" s="102"/>
      <c r="E81" s="103">
        <f>G81/G82</f>
        <v>0.40497673163954739</v>
      </c>
      <c r="F81" s="104"/>
      <c r="G81" s="105">
        <f>SUM(G4:G78)</f>
        <v>1867874179.3410845</v>
      </c>
      <c r="M81" s="67">
        <v>0.20025294544225347</v>
      </c>
    </row>
    <row r="82" spans="4:13">
      <c r="D82" s="102"/>
      <c r="E82" s="96">
        <v>100</v>
      </c>
      <c r="F82" s="96"/>
      <c r="G82" s="106">
        <v>4612300000</v>
      </c>
    </row>
  </sheetData>
  <mergeCells count="2">
    <mergeCell ref="B1:G1"/>
    <mergeCell ref="A33:A34"/>
  </mergeCells>
  <printOptions horizontalCentered="1"/>
  <pageMargins left="0" right="0" top="0.19685039370078741" bottom="0" header="0.31496062992125984" footer="0.31496062992125984"/>
  <pageSetup paperSize="9" scale="75" orientation="portrait" r:id="rId1"/>
  <rowBreaks count="1" manualBreakCount="1">
    <brk id="39" min="1" max="6" man="1"/>
  </rowBreaks>
</worksheet>
</file>

<file path=xl/worksheets/sheet26.xml><?xml version="1.0" encoding="utf-8"?>
<worksheet xmlns="http://schemas.openxmlformats.org/spreadsheetml/2006/main" xmlns:r="http://schemas.openxmlformats.org/officeDocument/2006/relationships">
  <sheetPr>
    <tabColor rgb="FF00B050"/>
  </sheetPr>
  <dimension ref="A1:S82"/>
  <sheetViews>
    <sheetView view="pageBreakPreview" topLeftCell="B1" zoomScaleSheetLayoutView="100" workbookViewId="0">
      <selection activeCell="B1" sqref="B1:G1"/>
    </sheetView>
  </sheetViews>
  <sheetFormatPr defaultRowHeight="15"/>
  <cols>
    <col min="1" max="1" width="14.7109375" bestFit="1" customWidth="1"/>
    <col min="2" max="2" width="9.42578125" bestFit="1" customWidth="1"/>
    <col min="3" max="3" width="66.85546875" customWidth="1"/>
    <col min="4" max="4" width="12.28515625" customWidth="1"/>
    <col min="5" max="5" width="9.28515625" bestFit="1" customWidth="1"/>
    <col min="6" max="6" width="12.7109375" bestFit="1" customWidth="1"/>
    <col min="7" max="7" width="20.42578125" bestFit="1" customWidth="1"/>
    <col min="8" max="8" width="11.42578125" customWidth="1"/>
    <col min="9" max="11" width="10.7109375" hidden="1" customWidth="1"/>
    <col min="12" max="12" width="10.28515625" hidden="1" customWidth="1"/>
    <col min="13" max="13" width="9.28515625" hidden="1" customWidth="1"/>
    <col min="14" max="14" width="13.42578125" bestFit="1" customWidth="1"/>
    <col min="16" max="16" width="10.7109375" bestFit="1" customWidth="1"/>
  </cols>
  <sheetData>
    <row r="1" spans="2:14" ht="21">
      <c r="B1" s="390" t="s">
        <v>117</v>
      </c>
      <c r="C1" s="391"/>
      <c r="D1" s="391"/>
      <c r="E1" s="391"/>
      <c r="F1" s="391"/>
      <c r="G1" s="392"/>
    </row>
    <row r="2" spans="2:14" ht="29.25" customHeight="1">
      <c r="B2" s="71" t="s">
        <v>14</v>
      </c>
      <c r="C2" s="71" t="s">
        <v>12</v>
      </c>
      <c r="D2" s="71" t="s">
        <v>1</v>
      </c>
      <c r="E2" s="71" t="s">
        <v>2</v>
      </c>
      <c r="F2" s="71" t="s">
        <v>16</v>
      </c>
      <c r="G2" s="71" t="s">
        <v>3</v>
      </c>
    </row>
    <row r="3" spans="2:14">
      <c r="B3" s="7"/>
      <c r="C3" s="46" t="s">
        <v>118</v>
      </c>
      <c r="D3" s="6"/>
      <c r="E3" s="6"/>
      <c r="F3" s="6"/>
      <c r="G3" s="6"/>
    </row>
    <row r="4" spans="2:14" ht="30">
      <c r="B4" s="6">
        <v>1</v>
      </c>
      <c r="C4" s="2" t="s">
        <v>0</v>
      </c>
      <c r="D4" s="6">
        <f>73+3.85+11.025+0.175+1.96+3.4+2.695+3.55+1.4+5.7+2.06+0.49+5.63+0.35+2.5+3.28+8.15</f>
        <v>129.21499999999997</v>
      </c>
      <c r="E4" s="6" t="s">
        <v>4</v>
      </c>
      <c r="F4" s="74">
        <v>30811.3</v>
      </c>
      <c r="G4" s="75">
        <f>D4*F4</f>
        <v>3981282.1294999993</v>
      </c>
    </row>
    <row r="5" spans="2:14" hidden="1">
      <c r="B5" s="6"/>
      <c r="C5" s="40" t="s">
        <v>60</v>
      </c>
      <c r="D5" s="6"/>
      <c r="E5" s="72" t="s">
        <v>61</v>
      </c>
      <c r="F5" s="28">
        <v>412.23394137652696</v>
      </c>
      <c r="G5" s="75">
        <f t="shared" ref="G5:G8" si="0">D5*F5</f>
        <v>0</v>
      </c>
    </row>
    <row r="6" spans="2:14" hidden="1">
      <c r="B6" s="6"/>
      <c r="C6" s="40" t="s">
        <v>62</v>
      </c>
      <c r="D6" s="6"/>
      <c r="E6" s="72" t="s">
        <v>61</v>
      </c>
      <c r="F6" s="28">
        <v>599.22665705247732</v>
      </c>
      <c r="G6" s="75">
        <f t="shared" si="0"/>
        <v>0</v>
      </c>
    </row>
    <row r="7" spans="2:14" hidden="1">
      <c r="B7" s="6"/>
      <c r="C7" s="40" t="s">
        <v>63</v>
      </c>
      <c r="D7" s="6"/>
      <c r="E7" s="72" t="s">
        <v>61</v>
      </c>
      <c r="F7" s="28">
        <v>1213.752718114805</v>
      </c>
      <c r="G7" s="75">
        <f t="shared" si="0"/>
        <v>0</v>
      </c>
    </row>
    <row r="8" spans="2:14" hidden="1">
      <c r="B8" s="6"/>
      <c r="C8" s="42" t="s">
        <v>64</v>
      </c>
      <c r="D8" s="6"/>
      <c r="E8" s="73" t="s">
        <v>61</v>
      </c>
      <c r="F8" s="28">
        <v>2395.2066944310372</v>
      </c>
      <c r="G8" s="75">
        <f t="shared" si="0"/>
        <v>0</v>
      </c>
    </row>
    <row r="9" spans="2:14" ht="75">
      <c r="B9" s="6">
        <v>2</v>
      </c>
      <c r="C9" s="2" t="s">
        <v>7</v>
      </c>
      <c r="D9" s="6"/>
      <c r="E9" s="6"/>
      <c r="F9" s="6"/>
      <c r="G9" s="75"/>
    </row>
    <row r="10" spans="2:14">
      <c r="B10" s="6"/>
      <c r="C10" s="1" t="s">
        <v>5</v>
      </c>
      <c r="D10" s="85">
        <f>451615+35000+118721.5+123043+36165+24201+373343+145166+98210+68110+34059+58305+65065+45690+49947+25468</f>
        <v>1752108.5</v>
      </c>
      <c r="E10" s="6" t="s">
        <v>6</v>
      </c>
      <c r="F10" s="6">
        <v>90.23</v>
      </c>
      <c r="G10" s="75">
        <f t="shared" ref="G10:G11" si="1">D10*F10</f>
        <v>158092749.95500001</v>
      </c>
      <c r="H10" s="60"/>
      <c r="I10" s="18">
        <v>14853</v>
      </c>
      <c r="K10" s="60">
        <v>60648</v>
      </c>
    </row>
    <row r="11" spans="2:14" ht="90">
      <c r="B11" s="6"/>
      <c r="C11" s="64" t="s">
        <v>97</v>
      </c>
      <c r="D11" s="85">
        <f>309791+2254</f>
        <v>312045</v>
      </c>
      <c r="E11" s="6" t="s">
        <v>6</v>
      </c>
      <c r="F11" s="6">
        <v>308.11</v>
      </c>
      <c r="G11" s="75">
        <f t="shared" si="1"/>
        <v>96144184.950000003</v>
      </c>
      <c r="H11" s="60"/>
      <c r="I11" s="18"/>
      <c r="J11" s="65"/>
      <c r="K11" s="60"/>
      <c r="N11" s="18"/>
    </row>
    <row r="12" spans="2:14" ht="30">
      <c r="B12" s="6">
        <v>3</v>
      </c>
      <c r="C12" s="2" t="s">
        <v>9</v>
      </c>
      <c r="D12" s="85"/>
      <c r="E12" s="6"/>
      <c r="F12" s="6"/>
      <c r="G12" s="75"/>
      <c r="K12" s="60"/>
      <c r="N12" s="92"/>
    </row>
    <row r="13" spans="2:14" ht="30">
      <c r="B13" s="6"/>
      <c r="C13" s="4" t="s">
        <v>8</v>
      </c>
      <c r="D13" s="85"/>
      <c r="E13" s="6"/>
      <c r="F13" s="6"/>
      <c r="G13" s="75"/>
    </row>
    <row r="14" spans="2:14">
      <c r="B14" s="6"/>
      <c r="C14" s="1" t="s">
        <v>10</v>
      </c>
      <c r="D14" s="85">
        <f>504480+79000+259382.35+112255.09+65531.025+80991.93+85622.67+15397.55+59540+69256+41670+60301+87875+21530</f>
        <v>1542832.615</v>
      </c>
      <c r="E14" s="6" t="s">
        <v>6</v>
      </c>
      <c r="F14" s="6">
        <v>96.91</v>
      </c>
      <c r="G14" s="75">
        <f t="shared" ref="G14:G15" si="2">D14*F14</f>
        <v>149515908.71965</v>
      </c>
      <c r="H14" s="3"/>
      <c r="I14" s="18"/>
      <c r="J14" s="18"/>
      <c r="K14" s="62"/>
      <c r="N14" s="18"/>
    </row>
    <row r="15" spans="2:14">
      <c r="B15" s="6"/>
      <c r="C15" s="1" t="s">
        <v>38</v>
      </c>
      <c r="D15" s="85">
        <f>54904.65+54772.5+3320</f>
        <v>112997.15</v>
      </c>
      <c r="E15" s="6" t="s">
        <v>6</v>
      </c>
      <c r="F15" s="6">
        <v>249.23</v>
      </c>
      <c r="G15" s="75">
        <f t="shared" si="2"/>
        <v>28162279.694499996</v>
      </c>
      <c r="H15" s="3"/>
      <c r="I15" s="18"/>
      <c r="J15" s="18"/>
      <c r="K15" s="62"/>
    </row>
    <row r="16" spans="2:14" ht="25.5">
      <c r="B16" s="41">
        <v>4</v>
      </c>
      <c r="C16" s="42" t="s">
        <v>65</v>
      </c>
      <c r="D16" s="85"/>
      <c r="E16" s="6"/>
      <c r="F16" s="6"/>
      <c r="G16" s="75"/>
      <c r="H16" s="19"/>
      <c r="I16" s="18"/>
      <c r="J16" s="18"/>
    </row>
    <row r="17" spans="1:16" ht="27" customHeight="1">
      <c r="B17" s="41"/>
      <c r="C17" s="42" t="s">
        <v>94</v>
      </c>
      <c r="D17" s="85">
        <f>361490</f>
        <v>361490</v>
      </c>
      <c r="E17" s="6" t="s">
        <v>6</v>
      </c>
      <c r="F17" s="77">
        <v>249.2337246708139</v>
      </c>
      <c r="G17" s="75">
        <f t="shared" ref="G17:G20" si="3">D17*F17</f>
        <v>90095499.131252512</v>
      </c>
      <c r="H17" s="60">
        <v>361139</v>
      </c>
      <c r="I17" s="18">
        <v>18786</v>
      </c>
      <c r="J17" s="18"/>
      <c r="K17" s="60">
        <v>19192</v>
      </c>
      <c r="L17" s="18"/>
      <c r="N17" s="18">
        <f>2109700-D17</f>
        <v>1748210</v>
      </c>
    </row>
    <row r="18" spans="1:16" ht="25.5">
      <c r="B18" s="6">
        <v>5</v>
      </c>
      <c r="C18" s="40" t="s">
        <v>107</v>
      </c>
      <c r="D18" s="85">
        <f>46242.975+1125</f>
        <v>47367.974999999999</v>
      </c>
      <c r="E18" s="6" t="s">
        <v>6</v>
      </c>
      <c r="F18" s="77">
        <v>1078.429300650386</v>
      </c>
      <c r="G18" s="75">
        <f t="shared" si="3"/>
        <v>51083012.15247497</v>
      </c>
      <c r="H18" s="60"/>
      <c r="I18" s="18">
        <f>32105+15173</f>
        <v>47278</v>
      </c>
      <c r="J18" s="18"/>
      <c r="K18" s="60">
        <v>5943</v>
      </c>
    </row>
    <row r="19" spans="1:16" ht="39" customHeight="1">
      <c r="B19" s="6"/>
      <c r="C19" s="40" t="s">
        <v>98</v>
      </c>
      <c r="D19" s="85">
        <f>12603+8072.225+1245+1478</f>
        <v>23398.224999999999</v>
      </c>
      <c r="E19" s="6" t="s">
        <v>6</v>
      </c>
      <c r="F19" s="77">
        <v>1605.2049429494912</v>
      </c>
      <c r="G19" s="75">
        <f t="shared" si="3"/>
        <v>37558946.426244356</v>
      </c>
      <c r="H19" s="61"/>
      <c r="I19" s="18">
        <v>10591</v>
      </c>
      <c r="J19" s="18"/>
      <c r="K19" s="62">
        <v>1225</v>
      </c>
      <c r="N19">
        <v>11904.000000000002</v>
      </c>
    </row>
    <row r="20" spans="1:16" ht="39" customHeight="1">
      <c r="B20" s="6"/>
      <c r="C20" s="40" t="s">
        <v>101</v>
      </c>
      <c r="D20" s="85">
        <f>3883.75+1265+1123+312</f>
        <v>6583.75</v>
      </c>
      <c r="E20" s="6" t="s">
        <v>6</v>
      </c>
      <c r="F20" s="77">
        <v>1137.1086840767043</v>
      </c>
      <c r="G20" s="75">
        <f t="shared" si="3"/>
        <v>7486439.2987900022</v>
      </c>
      <c r="H20" s="61"/>
      <c r="I20" s="18"/>
      <c r="J20" s="18"/>
      <c r="K20" s="62">
        <v>952</v>
      </c>
      <c r="N20">
        <v>8072.2249999999976</v>
      </c>
    </row>
    <row r="21" spans="1:16" ht="19.5" customHeight="1">
      <c r="B21" s="6"/>
      <c r="C21" s="68" t="s">
        <v>102</v>
      </c>
      <c r="D21" s="85"/>
      <c r="E21" s="6"/>
      <c r="F21" s="77"/>
      <c r="G21" s="75"/>
      <c r="H21" s="61"/>
      <c r="I21" s="18"/>
      <c r="J21" s="18"/>
      <c r="K21" s="62"/>
    </row>
    <row r="22" spans="1:16" ht="39" customHeight="1">
      <c r="B22" s="6"/>
      <c r="C22" s="40" t="s">
        <v>103</v>
      </c>
      <c r="D22" s="85">
        <f>74356+10254</f>
        <v>84610</v>
      </c>
      <c r="E22" s="76" t="s">
        <v>106</v>
      </c>
      <c r="F22" s="77">
        <v>49.225000000000001</v>
      </c>
      <c r="G22" s="75">
        <f t="shared" ref="G22:G24" si="4">D22*F22</f>
        <v>4164927.25</v>
      </c>
      <c r="H22" s="61">
        <v>30528</v>
      </c>
      <c r="I22" s="18"/>
      <c r="J22" s="18"/>
      <c r="K22" s="62"/>
    </row>
    <row r="23" spans="1:16" ht="39" customHeight="1">
      <c r="B23" s="6"/>
      <c r="C23" s="40" t="s">
        <v>104</v>
      </c>
      <c r="D23" s="85">
        <f>74356+10254</f>
        <v>84610</v>
      </c>
      <c r="E23" s="76" t="s">
        <v>106</v>
      </c>
      <c r="F23" s="77">
        <v>13.65</v>
      </c>
      <c r="G23" s="75">
        <f t="shared" si="4"/>
        <v>1154926.5</v>
      </c>
      <c r="H23" s="61"/>
      <c r="I23" s="18"/>
      <c r="J23" s="18"/>
      <c r="K23" s="62"/>
    </row>
    <row r="24" spans="1:16" ht="39" customHeight="1">
      <c r="B24" s="6"/>
      <c r="C24" s="40" t="s">
        <v>105</v>
      </c>
      <c r="D24" s="85">
        <f>4207+125+141</f>
        <v>4473</v>
      </c>
      <c r="E24" s="76" t="s">
        <v>6</v>
      </c>
      <c r="F24" s="77">
        <v>9856.7824970557394</v>
      </c>
      <c r="G24" s="75">
        <f t="shared" si="4"/>
        <v>44089388.109330319</v>
      </c>
      <c r="H24" s="61"/>
      <c r="I24" s="18"/>
      <c r="J24" s="18"/>
      <c r="K24" s="62"/>
    </row>
    <row r="25" spans="1:16" ht="15.75">
      <c r="A25" s="56" t="s">
        <v>49</v>
      </c>
      <c r="B25" s="6"/>
      <c r="C25" s="47" t="s">
        <v>22</v>
      </c>
      <c r="D25" s="86"/>
      <c r="E25" s="6"/>
      <c r="F25" s="6"/>
      <c r="G25" s="78"/>
    </row>
    <row r="26" spans="1:16" ht="30">
      <c r="B26" s="6">
        <v>6</v>
      </c>
      <c r="C26" s="43" t="s">
        <v>13</v>
      </c>
      <c r="D26" s="6"/>
      <c r="E26" s="6"/>
      <c r="F26" s="6"/>
      <c r="G26" s="6"/>
    </row>
    <row r="27" spans="1:16">
      <c r="B27" s="1"/>
      <c r="C27" s="2" t="s">
        <v>11</v>
      </c>
      <c r="D27" s="85">
        <f>850+200+202.5+309+1476+700+1629.08+1644.5+168+222+401.45+252+458.8+2833.1+9285.836-4900+487.2+329.18+518.45+568.82+569.66+209.3+243.5+450+336.3+181.7+234.03+1463+2374+254+1748</f>
        <v>25699.405999999999</v>
      </c>
      <c r="E27" s="6" t="s">
        <v>6</v>
      </c>
      <c r="F27" s="6">
        <v>96.91</v>
      </c>
      <c r="G27" s="75">
        <f t="shared" ref="G27:G30" si="5">D27*F27</f>
        <v>2490529.4354599998</v>
      </c>
      <c r="H27" s="60"/>
      <c r="I27" s="18"/>
    </row>
    <row r="28" spans="1:16" ht="45">
      <c r="B28" s="1"/>
      <c r="C28" s="2" t="s">
        <v>68</v>
      </c>
      <c r="D28" s="87">
        <f>205+68+194+108.5+74.1+136.85+24+233+235.3+54.5+68+7+6</f>
        <v>1414.25</v>
      </c>
      <c r="E28" s="6" t="s">
        <v>6</v>
      </c>
      <c r="F28" s="6">
        <v>4576.99</v>
      </c>
      <c r="G28" s="75">
        <f t="shared" si="5"/>
        <v>6473008.1074999999</v>
      </c>
      <c r="H28" s="60"/>
      <c r="I28" s="60">
        <v>65</v>
      </c>
      <c r="K28" s="60">
        <f>47+24</f>
        <v>71</v>
      </c>
      <c r="P28" s="20"/>
    </row>
    <row r="29" spans="1:16" ht="45">
      <c r="B29" s="1"/>
      <c r="C29" s="2" t="s">
        <v>73</v>
      </c>
      <c r="D29" s="85">
        <f>30.11+32+39+96.57+80+2768.53+265.2+1585.8+1488.05+2658.45+428.5+2551.56+2592.34+574</f>
        <v>15190.109999999999</v>
      </c>
      <c r="E29" s="6" t="s">
        <v>6</v>
      </c>
      <c r="F29" s="6">
        <v>5868.53</v>
      </c>
      <c r="G29" s="75">
        <f t="shared" si="5"/>
        <v>89143616.238299996</v>
      </c>
      <c r="H29" s="60"/>
      <c r="I29" s="60">
        <v>726</v>
      </c>
      <c r="K29" s="60">
        <f>490+431</f>
        <v>921</v>
      </c>
      <c r="P29" s="20"/>
    </row>
    <row r="30" spans="1:16" ht="53.25" customHeight="1">
      <c r="B30" s="1"/>
      <c r="C30" s="2" t="s">
        <v>74</v>
      </c>
      <c r="D30" s="85">
        <f>168+138.041+124.151+3.886+3.594+0.536+1.14+9.255+2.227+2.382+12.457+35.72+5.551+16.04+35.819+7.862+4.444+31.304+25.001+2.619+3.385+0.119+5.72+10.328+24.446+213.827+5.759+0.9+4.2+7.656+13.888+6.093+8.113+7.436+36.812+29.308+2.046+1.554+1.706+9.883+2.25+5.808+21.855+6.382+4.499+204.199+1364+478+14+78+121</f>
        <v>3323.201</v>
      </c>
      <c r="E30" s="6" t="s">
        <v>29</v>
      </c>
      <c r="F30" s="6">
        <v>75718.77</v>
      </c>
      <c r="G30" s="75">
        <f t="shared" si="5"/>
        <v>251628692.18277001</v>
      </c>
      <c r="H30" s="20"/>
      <c r="I30" s="60"/>
      <c r="K30" s="62">
        <v>250</v>
      </c>
    </row>
    <row r="31" spans="1:16" ht="38.25">
      <c r="B31" s="1"/>
      <c r="C31" s="27" t="s">
        <v>71</v>
      </c>
      <c r="D31" s="85"/>
      <c r="E31" s="6"/>
      <c r="F31" s="6"/>
      <c r="G31" s="78"/>
      <c r="K31" s="60"/>
    </row>
    <row r="32" spans="1:16">
      <c r="B32" s="1"/>
      <c r="C32" s="27" t="s">
        <v>70</v>
      </c>
      <c r="D32" s="85">
        <f>2551.56+2592.34+1380.7+65.8+744+125+65.8+33.6+87.5</f>
        <v>7646.3</v>
      </c>
      <c r="E32" s="6" t="s">
        <v>6</v>
      </c>
      <c r="F32" s="28">
        <v>7285.8483949228903</v>
      </c>
      <c r="G32" s="75">
        <f>D32*F32</f>
        <v>55709782.582098894</v>
      </c>
      <c r="H32" s="60"/>
      <c r="I32" s="60">
        <v>375</v>
      </c>
      <c r="K32" s="60">
        <f>200+147</f>
        <v>347</v>
      </c>
    </row>
    <row r="33" spans="1:19" ht="18.75">
      <c r="A33" s="381" t="s">
        <v>93</v>
      </c>
      <c r="B33" s="6"/>
      <c r="C33" s="48" t="s">
        <v>26</v>
      </c>
      <c r="D33" s="86"/>
      <c r="E33" s="6"/>
      <c r="F33" s="6"/>
      <c r="G33" s="78"/>
    </row>
    <row r="34" spans="1:19" ht="30">
      <c r="A34" s="381"/>
      <c r="B34" s="6">
        <v>7</v>
      </c>
      <c r="C34" s="2" t="s">
        <v>13</v>
      </c>
      <c r="D34" s="6"/>
      <c r="E34" s="6"/>
      <c r="F34" s="6"/>
      <c r="G34" s="6"/>
    </row>
    <row r="35" spans="1:19" ht="15" customHeight="1">
      <c r="A35" s="57"/>
      <c r="B35" s="1"/>
      <c r="C35" s="2" t="s">
        <v>11</v>
      </c>
      <c r="D35" s="86">
        <f>6027+1895.4+5745+325+647+1288+3575</f>
        <v>19502.400000000001</v>
      </c>
      <c r="E35" s="6" t="s">
        <v>6</v>
      </c>
      <c r="F35" s="6">
        <v>112.79</v>
      </c>
      <c r="G35" s="75">
        <f>D35*F35</f>
        <v>2199675.6960000005</v>
      </c>
      <c r="H35" s="60"/>
      <c r="L35" s="18"/>
    </row>
    <row r="36" spans="1:19" ht="45">
      <c r="B36" s="1"/>
      <c r="C36" s="2" t="s">
        <v>75</v>
      </c>
      <c r="D36" s="86">
        <f>191+213+135+69.5+44.5+33.7+10+64.5+68.5</f>
        <v>829.7</v>
      </c>
      <c r="E36" s="6" t="s">
        <v>6</v>
      </c>
      <c r="F36" s="6">
        <v>4576.99</v>
      </c>
      <c r="G36" s="75">
        <f>D36*F36</f>
        <v>3797528.6030000001</v>
      </c>
      <c r="H36" s="60"/>
      <c r="I36" s="60">
        <v>187</v>
      </c>
      <c r="K36">
        <f>197+45</f>
        <v>242</v>
      </c>
      <c r="M36" s="18">
        <f>D36+D38+D39+D41+D42+D44+D45+D47</f>
        <v>13227.7</v>
      </c>
    </row>
    <row r="37" spans="1:19" ht="45">
      <c r="B37" s="1"/>
      <c r="C37" s="2" t="s">
        <v>76</v>
      </c>
      <c r="D37" s="86"/>
      <c r="E37" s="6"/>
      <c r="F37" s="6"/>
      <c r="G37" s="78"/>
      <c r="I37" s="60"/>
      <c r="M37" s="18">
        <f>M36-'[2]Nov-2024'!$L$32</f>
        <v>-387.29999999999927</v>
      </c>
    </row>
    <row r="38" spans="1:19">
      <c r="B38" s="1"/>
      <c r="C38" s="2" t="s">
        <v>77</v>
      </c>
      <c r="D38" s="86">
        <f>121+344+4812</f>
        <v>5277</v>
      </c>
      <c r="E38" s="6" t="s">
        <v>6</v>
      </c>
      <c r="F38" s="6">
        <v>5868.53</v>
      </c>
      <c r="G38" s="75">
        <f>D38*F38</f>
        <v>30968232.809999999</v>
      </c>
      <c r="H38" s="86">
        <f>241+120+513.5+542.83+1058.75+1184.8+534.3+177+639.2+2098.5+1680.5</f>
        <v>8790.380000000001</v>
      </c>
      <c r="I38" s="60">
        <v>226</v>
      </c>
      <c r="K38">
        <f>191+62</f>
        <v>253</v>
      </c>
      <c r="N38">
        <f>4794</f>
        <v>4794</v>
      </c>
      <c r="O38" s="18">
        <f>H38-N38</f>
        <v>3996.380000000001</v>
      </c>
    </row>
    <row r="39" spans="1:19">
      <c r="B39" s="1"/>
      <c r="C39" s="2" t="s">
        <v>78</v>
      </c>
      <c r="D39" s="86"/>
      <c r="E39" s="6" t="s">
        <v>6</v>
      </c>
      <c r="F39" s="6">
        <v>6025.2</v>
      </c>
      <c r="G39" s="78">
        <f>D39*F39</f>
        <v>0</v>
      </c>
      <c r="H39" s="86">
        <f>16*45+193+200.5+74+322.5+221.7+251.5+57.5+179+39.5+192.5</f>
        <v>2451.6999999999998</v>
      </c>
      <c r="I39" s="60">
        <v>24</v>
      </c>
      <c r="K39">
        <f>714+234</f>
        <v>948</v>
      </c>
    </row>
    <row r="40" spans="1:19" ht="45">
      <c r="B40" s="1"/>
      <c r="C40" s="2" t="s">
        <v>79</v>
      </c>
      <c r="D40" s="86"/>
      <c r="E40" s="6"/>
      <c r="F40" s="6"/>
      <c r="G40" s="78"/>
      <c r="H40" s="60"/>
      <c r="I40" s="60"/>
    </row>
    <row r="41" spans="1:19">
      <c r="B41" s="1"/>
      <c r="C41" s="2" t="s">
        <v>80</v>
      </c>
      <c r="D41" s="86">
        <f>4416</f>
        <v>4416</v>
      </c>
      <c r="E41" s="6" t="s">
        <v>6</v>
      </c>
      <c r="F41" s="77">
        <v>6577.18850085551</v>
      </c>
      <c r="G41" s="75">
        <f>D41*F41</f>
        <v>29044864.419777934</v>
      </c>
      <c r="H41" s="60"/>
      <c r="I41" s="60">
        <v>491</v>
      </c>
      <c r="K41">
        <f>433+48</f>
        <v>481</v>
      </c>
    </row>
    <row r="42" spans="1:19">
      <c r="B42" s="1"/>
      <c r="C42" s="2" t="s">
        <v>81</v>
      </c>
      <c r="D42" s="86"/>
      <c r="E42" s="6" t="s">
        <v>6</v>
      </c>
      <c r="F42" s="77">
        <v>6733.8606354961657</v>
      </c>
      <c r="G42" s="78">
        <f>F42*D42</f>
        <v>0</v>
      </c>
      <c r="H42" s="60"/>
      <c r="I42" s="60">
        <v>349</v>
      </c>
      <c r="K42">
        <f>190+41</f>
        <v>231</v>
      </c>
    </row>
    <row r="43" spans="1:19" ht="45">
      <c r="B43" s="1"/>
      <c r="C43" s="2" t="s">
        <v>82</v>
      </c>
      <c r="D43" s="86"/>
      <c r="E43" s="6"/>
      <c r="F43" s="6"/>
      <c r="G43" s="78"/>
      <c r="H43" s="60"/>
      <c r="I43" s="60"/>
    </row>
    <row r="44" spans="1:19">
      <c r="B44" s="1"/>
      <c r="C44" s="4" t="s">
        <v>83</v>
      </c>
      <c r="D44" s="86">
        <f>630+1260+490+325</f>
        <v>2705</v>
      </c>
      <c r="E44" s="6" t="s">
        <v>6</v>
      </c>
      <c r="F44" s="77">
        <v>7285.8483949228903</v>
      </c>
      <c r="G44" s="75">
        <f>D44*F44</f>
        <v>19708219.908266418</v>
      </c>
      <c r="H44" s="60"/>
      <c r="I44" s="60">
        <v>28</v>
      </c>
      <c r="K44">
        <f>71.5+8.5</f>
        <v>80</v>
      </c>
      <c r="S44" s="62"/>
    </row>
    <row r="45" spans="1:19">
      <c r="B45" s="1"/>
      <c r="C45" s="4" t="s">
        <v>84</v>
      </c>
      <c r="D45" s="86"/>
      <c r="E45" s="6" t="s">
        <v>6</v>
      </c>
      <c r="F45" s="77">
        <v>7442.5205295635469</v>
      </c>
      <c r="G45" s="75">
        <f t="shared" ref="G45:G48" si="6">D45*F45</f>
        <v>0</v>
      </c>
      <c r="H45" s="60"/>
      <c r="I45" s="60">
        <v>420</v>
      </c>
      <c r="K45">
        <f>448+48</f>
        <v>496</v>
      </c>
    </row>
    <row r="46" spans="1:19">
      <c r="B46" s="1"/>
      <c r="C46" s="4" t="s">
        <v>108</v>
      </c>
      <c r="D46" s="86"/>
      <c r="E46" s="6" t="s">
        <v>6</v>
      </c>
      <c r="F46" s="28">
        <v>7595.9612256065384</v>
      </c>
      <c r="G46" s="75">
        <f t="shared" si="6"/>
        <v>0</v>
      </c>
      <c r="H46" s="60"/>
      <c r="I46" s="60"/>
    </row>
    <row r="47" spans="1:19">
      <c r="B47" s="1"/>
      <c r="C47" s="4" t="s">
        <v>85</v>
      </c>
      <c r="D47" s="86"/>
      <c r="E47" s="6" t="s">
        <v>6</v>
      </c>
      <c r="F47" s="77">
        <v>14450.319994474561</v>
      </c>
      <c r="G47" s="75">
        <f t="shared" si="6"/>
        <v>0</v>
      </c>
      <c r="H47" s="60"/>
      <c r="I47" s="60">
        <v>331</v>
      </c>
      <c r="K47">
        <f>7+275</f>
        <v>282</v>
      </c>
      <c r="N47" s="20">
        <f>D47+D44+D42+D41+D38+D36+D32+D29+D28</f>
        <v>37478.36</v>
      </c>
      <c r="S47" s="18"/>
    </row>
    <row r="48" spans="1:19" ht="45">
      <c r="B48" s="1"/>
      <c r="C48" s="2" t="s">
        <v>96</v>
      </c>
      <c r="D48" s="85">
        <f>978+111+111.6+121+354.6+121.5+87.4+225.3+65.8+122.1+74.5+65.3+121.4+25.6+66.8</f>
        <v>2651.9000000000005</v>
      </c>
      <c r="E48" s="6" t="s">
        <v>29</v>
      </c>
      <c r="F48" s="6">
        <v>75718.77</v>
      </c>
      <c r="G48" s="75">
        <f t="shared" si="6"/>
        <v>200798606.16300005</v>
      </c>
      <c r="H48" s="20"/>
      <c r="I48" s="60"/>
      <c r="K48" s="60">
        <v>200</v>
      </c>
    </row>
    <row r="49" spans="1:17" ht="18.75">
      <c r="A49" s="58" t="s">
        <v>50</v>
      </c>
      <c r="B49" s="6"/>
      <c r="C49" s="49" t="s">
        <v>43</v>
      </c>
      <c r="D49" s="86"/>
      <c r="E49" s="6"/>
      <c r="F49" s="6"/>
      <c r="G49" s="78"/>
    </row>
    <row r="50" spans="1:17" ht="30">
      <c r="A50" s="58"/>
      <c r="B50" s="6">
        <v>8</v>
      </c>
      <c r="C50" s="2" t="s">
        <v>13</v>
      </c>
      <c r="D50" s="6"/>
      <c r="E50" s="6"/>
      <c r="F50" s="6"/>
      <c r="G50" s="6"/>
    </row>
    <row r="51" spans="1:17">
      <c r="B51" s="1"/>
      <c r="C51" s="2" t="s">
        <v>11</v>
      </c>
      <c r="D51" s="86">
        <f>1017.9+1346.5+1945+2087+351+632</f>
        <v>7379.4</v>
      </c>
      <c r="E51" s="6" t="s">
        <v>6</v>
      </c>
      <c r="F51" s="6">
        <v>22751</v>
      </c>
      <c r="G51" s="75">
        <f t="shared" ref="G51:G52" si="7">D51*F51</f>
        <v>167888729.40000001</v>
      </c>
      <c r="H51" s="60"/>
    </row>
    <row r="52" spans="1:17" ht="45">
      <c r="B52" s="1"/>
      <c r="C52" s="2" t="s">
        <v>75</v>
      </c>
      <c r="D52" s="93">
        <f>63.75+24.785+61.25+91.785</f>
        <v>241.57</v>
      </c>
      <c r="E52" s="6" t="s">
        <v>6</v>
      </c>
      <c r="F52" s="6">
        <v>1076</v>
      </c>
      <c r="G52" s="75">
        <f t="shared" si="7"/>
        <v>259929.32</v>
      </c>
      <c r="H52" s="60"/>
      <c r="I52" s="60">
        <v>65</v>
      </c>
      <c r="J52" s="60"/>
      <c r="K52">
        <f>70+16.8</f>
        <v>86.8</v>
      </c>
    </row>
    <row r="53" spans="1:17" ht="45">
      <c r="B53" s="1"/>
      <c r="C53" s="2" t="s">
        <v>76</v>
      </c>
      <c r="D53" s="86"/>
      <c r="E53" s="6"/>
      <c r="F53" s="6"/>
      <c r="G53" s="78"/>
      <c r="H53" s="60"/>
      <c r="I53" s="60"/>
      <c r="J53" s="60"/>
      <c r="N53">
        <v>1949.5299999999997</v>
      </c>
    </row>
    <row r="54" spans="1:17">
      <c r="B54" s="1"/>
      <c r="C54" s="2" t="s">
        <v>86</v>
      </c>
      <c r="D54" s="86"/>
      <c r="E54" s="6" t="s">
        <v>6</v>
      </c>
      <c r="F54" s="6">
        <v>3131</v>
      </c>
      <c r="G54" s="75">
        <f t="shared" ref="G54:G55" si="8">D54*F54</f>
        <v>0</v>
      </c>
      <c r="H54" s="60"/>
      <c r="I54" s="60"/>
      <c r="J54" s="60"/>
      <c r="N54" s="94">
        <f>N53-D55</f>
        <v>-883.44</v>
      </c>
    </row>
    <row r="55" spans="1:17">
      <c r="B55" s="1"/>
      <c r="C55" s="2" t="s">
        <v>87</v>
      </c>
      <c r="D55" s="86">
        <f>182.24+182.24+245.55+182.24+16*45+193+200.5+74+322.5+221.7+251.5+57.5</f>
        <v>2832.97</v>
      </c>
      <c r="E55" s="6" t="s">
        <v>6</v>
      </c>
      <c r="F55" s="6">
        <v>5985</v>
      </c>
      <c r="G55" s="75">
        <f t="shared" si="8"/>
        <v>16955325.449999999</v>
      </c>
      <c r="H55" s="60"/>
      <c r="I55" s="60">
        <v>161</v>
      </c>
      <c r="J55" s="60"/>
      <c r="K55" s="60">
        <v>160</v>
      </c>
      <c r="N55" s="18"/>
    </row>
    <row r="56" spans="1:17" ht="45">
      <c r="B56" s="1"/>
      <c r="C56" s="2" t="s">
        <v>88</v>
      </c>
      <c r="D56" s="86"/>
      <c r="E56" s="6"/>
      <c r="F56" s="6"/>
      <c r="G56" s="78"/>
      <c r="H56" s="60"/>
      <c r="I56" s="60"/>
      <c r="J56" s="60"/>
    </row>
    <row r="57" spans="1:17">
      <c r="B57" s="1"/>
      <c r="C57" s="2" t="s">
        <v>89</v>
      </c>
      <c r="D57" s="86"/>
      <c r="E57" s="6" t="s">
        <v>6</v>
      </c>
      <c r="F57" s="77">
        <v>6577.18850085551</v>
      </c>
      <c r="G57" s="75">
        <f t="shared" ref="G57:G58" si="9">D57*F57</f>
        <v>0</v>
      </c>
      <c r="H57" s="60"/>
      <c r="I57" s="60">
        <v>212</v>
      </c>
      <c r="J57" s="60"/>
      <c r="K57">
        <f>150+26</f>
        <v>176</v>
      </c>
    </row>
    <row r="58" spans="1:17">
      <c r="B58" s="1"/>
      <c r="C58" s="2" t="s">
        <v>90</v>
      </c>
      <c r="D58" s="86">
        <f>1157.26</f>
        <v>1157.26</v>
      </c>
      <c r="E58" s="6" t="s">
        <v>6</v>
      </c>
      <c r="F58" s="77">
        <v>6733.8606354961657</v>
      </c>
      <c r="G58" s="75">
        <f t="shared" si="9"/>
        <v>7792827.5590342926</v>
      </c>
      <c r="H58" s="60"/>
      <c r="I58" s="60">
        <v>46</v>
      </c>
      <c r="J58" s="60"/>
      <c r="K58">
        <v>125</v>
      </c>
    </row>
    <row r="59" spans="1:17" ht="45">
      <c r="B59" s="1"/>
      <c r="C59" s="2" t="s">
        <v>91</v>
      </c>
      <c r="D59" s="86"/>
      <c r="E59" s="6"/>
      <c r="F59" s="6"/>
      <c r="G59" s="78"/>
      <c r="H59" s="60"/>
      <c r="I59" s="60"/>
      <c r="J59" s="60"/>
      <c r="Q59" s="18"/>
    </row>
    <row r="60" spans="1:17">
      <c r="B60" s="1"/>
      <c r="C60" s="2" t="s">
        <v>83</v>
      </c>
      <c r="D60" s="86"/>
      <c r="E60" s="6" t="s">
        <v>6</v>
      </c>
      <c r="F60" s="77">
        <v>7285.8483949228903</v>
      </c>
      <c r="G60" s="75">
        <f t="shared" ref="G60:G64" si="10">D60*F60</f>
        <v>0</v>
      </c>
      <c r="H60" s="60"/>
      <c r="I60" s="60"/>
      <c r="J60" s="60"/>
    </row>
    <row r="61" spans="1:17">
      <c r="B61" s="1"/>
      <c r="C61" s="2" t="s">
        <v>84</v>
      </c>
      <c r="D61" s="86"/>
      <c r="E61" s="6" t="s">
        <v>6</v>
      </c>
      <c r="F61" s="77">
        <v>7442.5205295635469</v>
      </c>
      <c r="G61" s="75">
        <f t="shared" si="10"/>
        <v>0</v>
      </c>
      <c r="H61" s="60"/>
      <c r="I61" s="60">
        <v>233</v>
      </c>
      <c r="J61" s="60"/>
      <c r="K61">
        <v>163</v>
      </c>
    </row>
    <row r="62" spans="1:17">
      <c r="B62" s="1"/>
      <c r="C62" s="4" t="s">
        <v>108</v>
      </c>
      <c r="D62" s="86"/>
      <c r="E62" s="6" t="s">
        <v>6</v>
      </c>
      <c r="F62" s="28">
        <v>7595.9612256065384</v>
      </c>
      <c r="G62" s="75">
        <f t="shared" si="10"/>
        <v>0</v>
      </c>
      <c r="H62" s="60"/>
      <c r="I62" s="60"/>
    </row>
    <row r="63" spans="1:17">
      <c r="B63" s="1"/>
      <c r="C63" s="40" t="s">
        <v>95</v>
      </c>
      <c r="D63" s="86">
        <v>550</v>
      </c>
      <c r="E63" s="6" t="s">
        <v>6</v>
      </c>
      <c r="F63" s="77">
        <v>14450.319994474561</v>
      </c>
      <c r="G63" s="75">
        <f t="shared" si="10"/>
        <v>7947675.9969610088</v>
      </c>
      <c r="H63" s="60"/>
      <c r="I63" s="60">
        <v>265</v>
      </c>
      <c r="J63" s="60"/>
      <c r="K63">
        <v>159</v>
      </c>
    </row>
    <row r="64" spans="1:17" ht="45">
      <c r="B64" s="1"/>
      <c r="C64" s="2" t="s">
        <v>28</v>
      </c>
      <c r="D64" s="85">
        <f>(2.9*8)+(1.9*8)+(2.89*16)+(2.8*8)+(4.48*4)+(2.784*4)+(5.65*4)</f>
        <v>158.696</v>
      </c>
      <c r="E64" s="6" t="s">
        <v>29</v>
      </c>
      <c r="F64" s="6">
        <f>F48</f>
        <v>75718.77</v>
      </c>
      <c r="G64" s="75">
        <f t="shared" si="10"/>
        <v>12016265.92392</v>
      </c>
      <c r="H64" s="20"/>
      <c r="I64" s="60"/>
      <c r="K64" s="60">
        <v>180</v>
      </c>
    </row>
    <row r="65" spans="2:14" ht="45">
      <c r="B65" s="1"/>
      <c r="C65" s="2" t="s">
        <v>44</v>
      </c>
      <c r="D65" s="85"/>
      <c r="E65" s="6"/>
      <c r="F65" s="6"/>
      <c r="G65" s="78"/>
      <c r="H65" s="20"/>
    </row>
    <row r="66" spans="2:14">
      <c r="B66" s="82">
        <v>9</v>
      </c>
      <c r="C66" s="34" t="s">
        <v>109</v>
      </c>
      <c r="D66" s="86"/>
      <c r="E66" s="6"/>
      <c r="F66" s="83"/>
      <c r="G66" s="78"/>
      <c r="H66" s="63"/>
      <c r="K66" s="60"/>
    </row>
    <row r="67" spans="2:14">
      <c r="B67" s="84" t="s">
        <v>111</v>
      </c>
      <c r="C67" s="34" t="s">
        <v>116</v>
      </c>
      <c r="D67" s="86">
        <f>1760</f>
        <v>1760</v>
      </c>
      <c r="E67" s="6" t="s">
        <v>110</v>
      </c>
      <c r="F67" s="83">
        <v>2474.4146719115702</v>
      </c>
      <c r="G67" s="75">
        <f>D67*F67</f>
        <v>4354969.8225643635</v>
      </c>
      <c r="H67" s="63"/>
      <c r="K67" s="60"/>
    </row>
    <row r="68" spans="2:14">
      <c r="B68" s="91"/>
      <c r="C68" s="34"/>
      <c r="D68" s="89"/>
      <c r="E68" s="79"/>
      <c r="F68" s="90"/>
      <c r="G68" s="80"/>
      <c r="H68" s="63"/>
      <c r="K68" s="60"/>
    </row>
    <row r="69" spans="2:14" ht="21.75" customHeight="1">
      <c r="B69" s="88"/>
      <c r="C69" s="49" t="s">
        <v>115</v>
      </c>
      <c r="D69" s="89"/>
      <c r="E69" s="79"/>
      <c r="F69" s="90"/>
      <c r="G69" s="80"/>
      <c r="H69" s="63"/>
      <c r="K69" s="60"/>
    </row>
    <row r="70" spans="2:14" ht="45">
      <c r="B70" s="50">
        <v>10</v>
      </c>
      <c r="C70" s="2" t="s">
        <v>92</v>
      </c>
      <c r="D70" s="79"/>
      <c r="E70" s="79"/>
      <c r="F70" s="79"/>
      <c r="G70" s="80"/>
      <c r="H70" s="20"/>
    </row>
    <row r="71" spans="2:14">
      <c r="B71" s="84"/>
      <c r="C71" s="2" t="s">
        <v>55</v>
      </c>
      <c r="D71" s="86">
        <f>(245*2*1.5)+(148*2.5*2.5)+(140*2*3.5)+(165*2.5*1.75)+(112*2.5*2)</f>
        <v>3921.875</v>
      </c>
      <c r="E71" s="6" t="s">
        <v>58</v>
      </c>
      <c r="F71" s="77">
        <v>96.906337141238524</v>
      </c>
      <c r="G71" s="75">
        <f t="shared" ref="G71:G74" si="11">D71*F71</f>
        <v>380054.54097579484</v>
      </c>
      <c r="H71" s="63"/>
    </row>
    <row r="72" spans="2:14">
      <c r="B72" s="84"/>
      <c r="C72" s="2" t="s">
        <v>56</v>
      </c>
      <c r="D72" s="86">
        <f>198.5+24+63+14+12+11</f>
        <v>322.5</v>
      </c>
      <c r="E72" s="6" t="s">
        <v>58</v>
      </c>
      <c r="F72" s="77">
        <v>4576.9924799748396</v>
      </c>
      <c r="G72" s="75">
        <f t="shared" si="11"/>
        <v>1476080.0747918857</v>
      </c>
      <c r="H72" s="63"/>
      <c r="I72">
        <v>216</v>
      </c>
      <c r="K72">
        <v>210</v>
      </c>
      <c r="L72" s="18">
        <f>D72+D73</f>
        <v>1997.5</v>
      </c>
      <c r="M72" s="18">
        <f>L72-'[2]Nov-2024'!$D$61-'[2]Nov-2024'!$D$62</f>
        <v>-2267.5</v>
      </c>
    </row>
    <row r="73" spans="2:14">
      <c r="B73" s="84"/>
      <c r="C73" s="2" t="s">
        <v>57</v>
      </c>
      <c r="D73" s="86">
        <v>1675</v>
      </c>
      <c r="E73" s="6" t="s">
        <v>58</v>
      </c>
      <c r="F73" s="77">
        <v>5868.5286067881307</v>
      </c>
      <c r="G73" s="75">
        <f t="shared" si="11"/>
        <v>9829785.416370118</v>
      </c>
      <c r="H73" s="63"/>
      <c r="K73">
        <f>2300+615</f>
        <v>2915</v>
      </c>
    </row>
    <row r="74" spans="2:14">
      <c r="B74" s="84"/>
      <c r="C74" s="34" t="s">
        <v>100</v>
      </c>
      <c r="D74" s="86">
        <f>141+125+12+11</f>
        <v>289</v>
      </c>
      <c r="E74" s="6" t="s">
        <v>29</v>
      </c>
      <c r="F74" s="83">
        <v>75718.769116112453</v>
      </c>
      <c r="G74" s="75">
        <f t="shared" si="11"/>
        <v>21882724.274556499</v>
      </c>
      <c r="H74" s="63"/>
      <c r="K74" s="60">
        <v>250</v>
      </c>
    </row>
    <row r="75" spans="2:14">
      <c r="B75" s="84"/>
      <c r="C75" s="34"/>
      <c r="D75" s="86"/>
      <c r="E75" s="6"/>
      <c r="F75" s="83"/>
      <c r="G75" s="78"/>
      <c r="H75" s="63"/>
      <c r="K75" s="60"/>
      <c r="N75">
        <f>245+148+140+165+112</f>
        <v>810</v>
      </c>
    </row>
    <row r="76" spans="2:14">
      <c r="B76" s="82">
        <v>11</v>
      </c>
      <c r="C76" s="34" t="s">
        <v>112</v>
      </c>
      <c r="D76" s="36"/>
      <c r="E76" s="1" t="s">
        <v>106</v>
      </c>
      <c r="F76" s="83">
        <v>5058</v>
      </c>
      <c r="G76" s="78">
        <f>D76*F76</f>
        <v>0</v>
      </c>
      <c r="H76" s="63"/>
      <c r="K76" s="60"/>
    </row>
    <row r="77" spans="2:14">
      <c r="B77" s="82">
        <v>12</v>
      </c>
      <c r="C77" s="34" t="s">
        <v>114</v>
      </c>
      <c r="D77" s="36">
        <v>3245</v>
      </c>
      <c r="E77" s="1" t="s">
        <v>106</v>
      </c>
      <c r="F77" s="83">
        <v>292</v>
      </c>
      <c r="G77" s="78">
        <f>D77*F77</f>
        <v>947540</v>
      </c>
      <c r="H77" s="63"/>
      <c r="K77" s="60"/>
    </row>
    <row r="78" spans="2:14">
      <c r="B78" s="82">
        <v>13</v>
      </c>
      <c r="C78" s="34" t="s">
        <v>113</v>
      </c>
      <c r="D78" s="36">
        <v>650</v>
      </c>
      <c r="E78" s="1" t="s">
        <v>110</v>
      </c>
      <c r="F78" s="83">
        <v>1855</v>
      </c>
      <c r="G78" s="78">
        <f>D78*F78</f>
        <v>1205750</v>
      </c>
      <c r="H78" s="63"/>
      <c r="K78" s="60"/>
    </row>
    <row r="79" spans="2:14">
      <c r="B79" s="84"/>
      <c r="C79" s="34"/>
      <c r="D79" s="36"/>
      <c r="E79" s="1"/>
      <c r="F79" s="83"/>
      <c r="G79" s="78"/>
      <c r="H79" s="63"/>
      <c r="K79" s="60"/>
    </row>
    <row r="80" spans="2:14">
      <c r="B80" s="66"/>
      <c r="C80" s="69"/>
      <c r="D80" s="70"/>
      <c r="E80" s="22"/>
      <c r="F80" s="81"/>
      <c r="G80" s="55"/>
      <c r="H80" s="63"/>
      <c r="K80" s="60"/>
    </row>
    <row r="81" spans="5:13">
      <c r="E81" s="12">
        <f>G81/G82</f>
        <v>0.35046071553066566</v>
      </c>
      <c r="F81" s="9"/>
      <c r="G81" s="8">
        <f>SUM(G4:G78)</f>
        <v>1616429958.2420893</v>
      </c>
      <c r="M81" s="67">
        <v>0.20025294544225347</v>
      </c>
    </row>
    <row r="82" spans="5:13">
      <c r="E82" s="5">
        <v>100</v>
      </c>
      <c r="F82" s="5"/>
      <c r="G82" s="10">
        <v>4612300000</v>
      </c>
    </row>
  </sheetData>
  <mergeCells count="2">
    <mergeCell ref="B1:G1"/>
    <mergeCell ref="A33:A34"/>
  </mergeCells>
  <printOptions horizontalCentered="1"/>
  <pageMargins left="0" right="0" top="0.19685039370078741" bottom="0" header="0.31496062992125984" footer="0.31496062992125984"/>
  <pageSetup paperSize="9" scale="75" orientation="portrait" r:id="rId1"/>
  <rowBreaks count="1" manualBreakCount="1">
    <brk id="39" min="1" max="6" man="1"/>
  </rowBreaks>
</worksheet>
</file>

<file path=xl/worksheets/sheet27.xml><?xml version="1.0" encoding="utf-8"?>
<worksheet xmlns="http://schemas.openxmlformats.org/spreadsheetml/2006/main" xmlns:r="http://schemas.openxmlformats.org/officeDocument/2006/relationships">
  <dimension ref="H8:M16"/>
  <sheetViews>
    <sheetView workbookViewId="0">
      <selection activeCell="F4" sqref="F4:Q20"/>
    </sheetView>
  </sheetViews>
  <sheetFormatPr defaultRowHeight="15"/>
  <sheetData>
    <row r="8" spans="8:13">
      <c r="H8">
        <f>(55926/7)*1</f>
        <v>7989.4285714285716</v>
      </c>
      <c r="I8">
        <f>+(30515/7)*1</f>
        <v>4359.2857142857147</v>
      </c>
      <c r="M8">
        <v>46942.966000000008</v>
      </c>
    </row>
    <row r="9" spans="8:13">
      <c r="H9">
        <v>55069</v>
      </c>
      <c r="I9">
        <v>38798</v>
      </c>
      <c r="M9">
        <v>17954.949999999993</v>
      </c>
    </row>
    <row r="10" spans="8:13">
      <c r="H10">
        <v>68060</v>
      </c>
      <c r="I10">
        <v>28270</v>
      </c>
      <c r="M10">
        <f>371*27</f>
        <v>10017</v>
      </c>
    </row>
    <row r="11" spans="8:13">
      <c r="H11">
        <v>62285</v>
      </c>
      <c r="I11">
        <v>29423</v>
      </c>
      <c r="M11" s="95">
        <f>SUM(M8:M10)</f>
        <v>74914.915999999997</v>
      </c>
    </row>
    <row r="12" spans="8:13">
      <c r="H12">
        <f>(62185/7)*6</f>
        <v>53301.42857142858</v>
      </c>
      <c r="I12">
        <f>(28453/7)*6</f>
        <v>24388.285714285714</v>
      </c>
      <c r="M12">
        <f>M11/2.65</f>
        <v>28269.779622641508</v>
      </c>
    </row>
    <row r="15" spans="8:13">
      <c r="J15">
        <f>10000*37*0.525</f>
        <v>194250</v>
      </c>
      <c r="L15">
        <f>5555/2.239</f>
        <v>2481.0183117463152</v>
      </c>
    </row>
    <row r="16" spans="8:13">
      <c r="L16">
        <f>3575+L15</f>
        <v>6056.0183117463148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20</vt:i4>
      </vt:variant>
    </vt:vector>
  </HeadingPairs>
  <TitlesOfParts>
    <vt:vector size="47" baseType="lpstr">
      <vt:lpstr>17-03-24</vt:lpstr>
      <vt:lpstr>26-03-24</vt:lpstr>
      <vt:lpstr>01-04-24</vt:lpstr>
      <vt:lpstr>04-04-24</vt:lpstr>
      <vt:lpstr>06-04-24</vt:lpstr>
      <vt:lpstr>15-04-24</vt:lpstr>
      <vt:lpstr>22-04-24</vt:lpstr>
      <vt:lpstr>29-04-24</vt:lpstr>
      <vt:lpstr>06-05-24</vt:lpstr>
      <vt:lpstr>13-05-24</vt:lpstr>
      <vt:lpstr>20-05-24 </vt:lpstr>
      <vt:lpstr>27-05-24 </vt:lpstr>
      <vt:lpstr>08-07-24</vt:lpstr>
      <vt:lpstr>08-08-2024</vt:lpstr>
      <vt:lpstr>08-09-2024</vt:lpstr>
      <vt:lpstr>Sep-2024</vt:lpstr>
      <vt:lpstr>Sheet1</vt:lpstr>
      <vt:lpstr>Upto 31.03.2026</vt:lpstr>
      <vt:lpstr>Sheet4</vt:lpstr>
      <vt:lpstr>Sheet2</vt:lpstr>
      <vt:lpstr>Sep-2025</vt:lpstr>
      <vt:lpstr>Upto 30.06.2025</vt:lpstr>
      <vt:lpstr>Upto 31.05.2025</vt:lpstr>
      <vt:lpstr>Upto 30.04.2025</vt:lpstr>
      <vt:lpstr>Upto 31.03.2025</vt:lpstr>
      <vt:lpstr>Upto 31.01.2025</vt:lpstr>
      <vt:lpstr>Sheet3</vt:lpstr>
      <vt:lpstr>'04-04-24'!Print_Area</vt:lpstr>
      <vt:lpstr>'06-04-24'!Print_Area</vt:lpstr>
      <vt:lpstr>'06-05-24'!Print_Area</vt:lpstr>
      <vt:lpstr>'08-07-24'!Print_Area</vt:lpstr>
      <vt:lpstr>'08-08-2024'!Print_Area</vt:lpstr>
      <vt:lpstr>'08-09-2024'!Print_Area</vt:lpstr>
      <vt:lpstr>'13-05-24'!Print_Area</vt:lpstr>
      <vt:lpstr>'15-04-24'!Print_Area</vt:lpstr>
      <vt:lpstr>'20-05-24 '!Print_Area</vt:lpstr>
      <vt:lpstr>'22-04-24'!Print_Area</vt:lpstr>
      <vt:lpstr>'27-05-24 '!Print_Area</vt:lpstr>
      <vt:lpstr>'29-04-24'!Print_Area</vt:lpstr>
      <vt:lpstr>'Sep-2024'!Print_Area</vt:lpstr>
      <vt:lpstr>'Sep-2025'!Print_Area</vt:lpstr>
      <vt:lpstr>Sheet1!Print_Area</vt:lpstr>
      <vt:lpstr>'Upto 30.04.2025'!Print_Area</vt:lpstr>
      <vt:lpstr>'Upto 30.06.2025'!Print_Area</vt:lpstr>
      <vt:lpstr>'Upto 31.01.2025'!Print_Area</vt:lpstr>
      <vt:lpstr>'Upto 31.03.2025'!Print_Area</vt:lpstr>
      <vt:lpstr>'Upto 31.03.2026'!Print_Area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CS</cp:lastModifiedBy>
  <cp:lastPrinted>2026-03-10T08:08:28Z</cp:lastPrinted>
  <dcterms:created xsi:type="dcterms:W3CDTF">2024-03-18T03:37:34Z</dcterms:created>
  <dcterms:modified xsi:type="dcterms:W3CDTF">2026-04-04T06:42:21Z</dcterms:modified>
</cp:coreProperties>
</file>