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ka4x4.sharepoint.com/sites/OKABoard-02Board/Shared Documents/03 Budget/"/>
    </mc:Choice>
  </mc:AlternateContent>
  <xr:revisionPtr revIDLastSave="515" documentId="8_{6B320C3F-1295-B347-B323-83FC45BADA40}" xr6:coauthVersionLast="47" xr6:coauthVersionMax="47" xr10:uidLastSave="{F70A289B-2D6F-4E44-B7D5-F33E8A40DD33}"/>
  <bookViews>
    <workbookView xWindow="260" yWindow="760" windowWidth="34700" windowHeight="17640" firstSheet="1" activeTab="9" xr2:uid="{382B610B-5EC5-4F1B-8BEE-19376E7D5592}"/>
  </bookViews>
  <sheets>
    <sheet name="Assumption Sheets &gt;&gt;" sheetId="12" r:id="rId1"/>
    <sheet name="Assumption Sheet" sheetId="1" r:id="rId2"/>
    <sheet name="P&amp;L Assumption Sheet" sheetId="2" r:id="rId3"/>
    <sheet name="Working Capital Assumptions" sheetId="10" r:id="rId4"/>
    <sheet name="Fixed Asset Schedule" sheetId="3" r:id="rId5"/>
    <sheet name="Capital Deployment &amp; Debt Repay" sheetId="4" r:id="rId6"/>
    <sheet name="DCF" sheetId="15" r:id="rId7"/>
    <sheet name="Finanical Statements &gt;&gt;" sheetId="13" r:id="rId8"/>
    <sheet name="Income Statement" sheetId="6" r:id="rId9"/>
    <sheet name="Cashflow Statement" sheetId="8" r:id="rId10"/>
    <sheet name="Balance Sheet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5" l="1"/>
  <c r="F8" i="15"/>
  <c r="E8" i="15"/>
  <c r="D8" i="15"/>
  <c r="C8" i="15"/>
  <c r="Q9" i="11"/>
  <c r="K9" i="11"/>
  <c r="J9" i="11"/>
  <c r="AF6" i="11"/>
  <c r="AG6" i="11"/>
  <c r="AH6" i="11"/>
  <c r="Y6" i="11"/>
  <c r="Z6" i="11"/>
  <c r="AA6" i="11"/>
  <c r="R6" i="11"/>
  <c r="S6" i="11"/>
  <c r="T6" i="11"/>
  <c r="D6" i="11"/>
  <c r="E6" i="11"/>
  <c r="F6" i="11"/>
  <c r="K6" i="11"/>
  <c r="L6" i="11"/>
  <c r="M6" i="11"/>
  <c r="O6" i="11"/>
  <c r="AJ6" i="11"/>
  <c r="AE6" i="11"/>
  <c r="AC6" i="11"/>
  <c r="X6" i="11"/>
  <c r="V6" i="11"/>
  <c r="Q6" i="11"/>
  <c r="J6" i="11"/>
  <c r="H6" i="11"/>
  <c r="C6" i="11"/>
  <c r="I42" i="1"/>
  <c r="I70" i="1"/>
  <c r="I95" i="1"/>
  <c r="C13" i="2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76" i="1"/>
  <c r="AF6" i="8"/>
  <c r="AG6" i="8"/>
  <c r="AH6" i="8"/>
  <c r="Y6" i="8"/>
  <c r="Z6" i="8"/>
  <c r="AA6" i="8"/>
  <c r="R6" i="8"/>
  <c r="S6" i="8"/>
  <c r="T6" i="8"/>
  <c r="K6" i="8"/>
  <c r="L6" i="8"/>
  <c r="M6" i="8"/>
  <c r="AJ6" i="8"/>
  <c r="AE6" i="8"/>
  <c r="AC6" i="8"/>
  <c r="X6" i="8"/>
  <c r="V6" i="8"/>
  <c r="Q6" i="8"/>
  <c r="O6" i="8"/>
  <c r="J6" i="8"/>
  <c r="H6" i="8"/>
  <c r="D6" i="8"/>
  <c r="E6" i="8"/>
  <c r="F6" i="8"/>
  <c r="C6" i="8"/>
  <c r="AF6" i="6"/>
  <c r="AG6" i="6"/>
  <c r="AH6" i="6"/>
  <c r="Y6" i="6"/>
  <c r="Z6" i="6"/>
  <c r="AA6" i="6"/>
  <c r="R6" i="6"/>
  <c r="S6" i="6"/>
  <c r="T6" i="6"/>
  <c r="K6" i="6"/>
  <c r="L6" i="6"/>
  <c r="M6" i="6"/>
  <c r="AE6" i="6"/>
  <c r="AC6" i="6"/>
  <c r="X6" i="6"/>
  <c r="V6" i="6"/>
  <c r="Q6" i="6"/>
  <c r="O6" i="6"/>
  <c r="J6" i="6"/>
  <c r="H6" i="6"/>
  <c r="D6" i="6"/>
  <c r="E6" i="6"/>
  <c r="F6" i="6"/>
  <c r="C6" i="6"/>
  <c r="G7" i="15"/>
  <c r="F7" i="15"/>
  <c r="E7" i="15"/>
  <c r="D7" i="15"/>
  <c r="C7" i="15"/>
  <c r="AF6" i="4"/>
  <c r="AG6" i="4"/>
  <c r="AH6" i="4"/>
  <c r="AJ6" i="4"/>
  <c r="Y6" i="4"/>
  <c r="Z6" i="4"/>
  <c r="AA6" i="4"/>
  <c r="R6" i="4"/>
  <c r="S6" i="4"/>
  <c r="T6" i="4"/>
  <c r="AE6" i="4"/>
  <c r="AC6" i="4"/>
  <c r="X6" i="4"/>
  <c r="V6" i="4"/>
  <c r="Q6" i="4"/>
  <c r="O6" i="4"/>
  <c r="K6" i="4"/>
  <c r="L6" i="4"/>
  <c r="M6" i="4"/>
  <c r="J6" i="4"/>
  <c r="H6" i="4"/>
  <c r="D6" i="4"/>
  <c r="E6" i="4"/>
  <c r="F6" i="4"/>
  <c r="C6" i="4"/>
  <c r="AJ6" i="3"/>
  <c r="AF6" i="3"/>
  <c r="AG6" i="3"/>
  <c r="AH6" i="3"/>
  <c r="AE6" i="3"/>
  <c r="AC6" i="3"/>
  <c r="V6" i="3"/>
  <c r="Y6" i="3"/>
  <c r="Z6" i="3"/>
  <c r="AA6" i="3"/>
  <c r="X6" i="3"/>
  <c r="R6" i="3"/>
  <c r="S6" i="3"/>
  <c r="T6" i="3"/>
  <c r="Q6" i="3"/>
  <c r="O6" i="3"/>
  <c r="K6" i="3"/>
  <c r="L6" i="3"/>
  <c r="M6" i="3"/>
  <c r="J6" i="3"/>
  <c r="H6" i="3"/>
  <c r="D6" i="3"/>
  <c r="E6" i="3"/>
  <c r="F6" i="3"/>
  <c r="C6" i="3"/>
  <c r="AJ6" i="10" l="1"/>
  <c r="AC6" i="10"/>
  <c r="V6" i="10"/>
  <c r="O6" i="10"/>
  <c r="AF6" i="10"/>
  <c r="AG6" i="10"/>
  <c r="AH6" i="10"/>
  <c r="AE6" i="10"/>
  <c r="Y6" i="10"/>
  <c r="Z6" i="10"/>
  <c r="AA6" i="10"/>
  <c r="X6" i="10"/>
  <c r="R6" i="10"/>
  <c r="S6" i="10"/>
  <c r="T6" i="10"/>
  <c r="Q6" i="10"/>
  <c r="H6" i="10"/>
  <c r="K6" i="10"/>
  <c r="L6" i="10"/>
  <c r="M6" i="10"/>
  <c r="J6" i="10"/>
  <c r="D6" i="10"/>
  <c r="E6" i="10"/>
  <c r="F6" i="10"/>
  <c r="C6" i="10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76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51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23" i="1"/>
  <c r="B2" i="15" l="1"/>
  <c r="D12" i="1" l="1"/>
  <c r="D11" i="1"/>
  <c r="C12" i="1"/>
  <c r="C17" i="1"/>
  <c r="D24" i="8"/>
  <c r="C24" i="8"/>
  <c r="D10" i="11"/>
  <c r="C10" i="11"/>
  <c r="E9" i="11"/>
  <c r="F9" i="11" s="1"/>
  <c r="C37" i="11"/>
  <c r="D37" i="11" s="1"/>
  <c r="E37" i="11" s="1"/>
  <c r="F37" i="11" s="1"/>
  <c r="H35" i="8"/>
  <c r="D31" i="8"/>
  <c r="C31" i="8"/>
  <c r="D30" i="8"/>
  <c r="C30" i="8"/>
  <c r="AH23" i="8"/>
  <c r="AG23" i="8"/>
  <c r="AF23" i="8"/>
  <c r="AE23" i="8"/>
  <c r="AA23" i="8"/>
  <c r="Z23" i="8"/>
  <c r="Y23" i="8"/>
  <c r="X23" i="8"/>
  <c r="T23" i="8"/>
  <c r="S23" i="8"/>
  <c r="R23" i="8"/>
  <c r="Q23" i="8"/>
  <c r="M23" i="8"/>
  <c r="L23" i="8"/>
  <c r="K23" i="8"/>
  <c r="J23" i="8"/>
  <c r="E23" i="8"/>
  <c r="F23" i="8"/>
  <c r="AJ20" i="3"/>
  <c r="AC20" i="3"/>
  <c r="V20" i="3"/>
  <c r="O20" i="3"/>
  <c r="H19" i="3"/>
  <c r="B2" i="11"/>
  <c r="AH8" i="10"/>
  <c r="AG8" i="10"/>
  <c r="AF8" i="10"/>
  <c r="AA8" i="10"/>
  <c r="Z8" i="10"/>
  <c r="Y8" i="10"/>
  <c r="T8" i="10"/>
  <c r="S8" i="10"/>
  <c r="R8" i="10"/>
  <c r="M8" i="10"/>
  <c r="L8" i="10"/>
  <c r="K8" i="10"/>
  <c r="B2" i="10"/>
  <c r="F24" i="8" l="1"/>
  <c r="F10" i="11"/>
  <c r="E10" i="11"/>
  <c r="E24" i="8"/>
  <c r="V23" i="8"/>
  <c r="H37" i="11"/>
  <c r="J37" i="11"/>
  <c r="K37" i="11" s="1"/>
  <c r="L37" i="11" s="1"/>
  <c r="M37" i="11" s="1"/>
  <c r="H9" i="11"/>
  <c r="AJ23" i="8"/>
  <c r="AC23" i="8"/>
  <c r="O23" i="8"/>
  <c r="H10" i="11" l="1"/>
  <c r="H24" i="8"/>
  <c r="J24" i="8"/>
  <c r="J10" i="11"/>
  <c r="O37" i="11"/>
  <c r="Q37" i="11"/>
  <c r="R37" i="11" s="1"/>
  <c r="S37" i="11" s="1"/>
  <c r="T37" i="11" s="1"/>
  <c r="B2" i="8"/>
  <c r="Z37" i="6"/>
  <c r="J37" i="6"/>
  <c r="B2" i="4"/>
  <c r="B2" i="3"/>
  <c r="B2" i="6"/>
  <c r="B2" i="2"/>
  <c r="AH37" i="6"/>
  <c r="AG37" i="6"/>
  <c r="AF37" i="6"/>
  <c r="AE37" i="6"/>
  <c r="AA37" i="6"/>
  <c r="Y37" i="6"/>
  <c r="X37" i="6"/>
  <c r="T37" i="6"/>
  <c r="S37" i="6"/>
  <c r="R37" i="6"/>
  <c r="Q37" i="6"/>
  <c r="M37" i="6"/>
  <c r="L37" i="6"/>
  <c r="K37" i="6"/>
  <c r="D37" i="6"/>
  <c r="E37" i="6"/>
  <c r="F37" i="6"/>
  <c r="C37" i="6"/>
  <c r="Q8" i="8" l="1"/>
  <c r="M8" i="8"/>
  <c r="AG8" i="8"/>
  <c r="AH8" i="8"/>
  <c r="R8" i="8"/>
  <c r="V8" i="8" s="1"/>
  <c r="K8" i="8"/>
  <c r="S8" i="8"/>
  <c r="C8" i="8"/>
  <c r="T8" i="8"/>
  <c r="F8" i="8"/>
  <c r="X8" i="8"/>
  <c r="E8" i="8"/>
  <c r="Y8" i="8"/>
  <c r="J8" i="8"/>
  <c r="O8" i="8" s="1"/>
  <c r="D8" i="8"/>
  <c r="AA8" i="8"/>
  <c r="Z8" i="8"/>
  <c r="AE8" i="8"/>
  <c r="L8" i="8"/>
  <c r="AF8" i="8"/>
  <c r="L9" i="11"/>
  <c r="K24" i="8"/>
  <c r="K10" i="11"/>
  <c r="V37" i="11"/>
  <c r="X37" i="11"/>
  <c r="Y37" i="11" s="1"/>
  <c r="Z37" i="11" s="1"/>
  <c r="AA37" i="11" s="1"/>
  <c r="O37" i="6"/>
  <c r="D9" i="15" s="1"/>
  <c r="AJ37" i="6"/>
  <c r="G9" i="15" s="1"/>
  <c r="AC37" i="6"/>
  <c r="F9" i="15" s="1"/>
  <c r="H37" i="6"/>
  <c r="C9" i="15" s="1"/>
  <c r="V37" i="6"/>
  <c r="E9" i="15" s="1"/>
  <c r="AC8" i="8" l="1"/>
  <c r="AJ8" i="8"/>
  <c r="H8" i="8"/>
  <c r="M9" i="11"/>
  <c r="L24" i="8"/>
  <c r="L10" i="11"/>
  <c r="AC37" i="11"/>
  <c r="AE37" i="11"/>
  <c r="AF37" i="11" s="1"/>
  <c r="AG37" i="11" s="1"/>
  <c r="AH37" i="11" s="1"/>
  <c r="AJ37" i="11" s="1"/>
  <c r="H16" i="4"/>
  <c r="C8" i="4"/>
  <c r="C7" i="4"/>
  <c r="H12" i="3"/>
  <c r="C9" i="3"/>
  <c r="C8" i="3"/>
  <c r="M24" i="8" l="1"/>
  <c r="M10" i="11"/>
  <c r="O9" i="11"/>
  <c r="D34" i="2"/>
  <c r="E34" i="2"/>
  <c r="F34" i="2"/>
  <c r="C34" i="2"/>
  <c r="C15" i="2"/>
  <c r="D27" i="2"/>
  <c r="E27" i="2"/>
  <c r="F27" i="2"/>
  <c r="J27" i="2" s="1"/>
  <c r="C27" i="2"/>
  <c r="C28" i="2" s="1"/>
  <c r="D13" i="2"/>
  <c r="J96" i="1"/>
  <c r="K76" i="1"/>
  <c r="K77" i="1" s="1"/>
  <c r="K78" i="1" s="1"/>
  <c r="K79" i="1" s="1"/>
  <c r="K80" i="1" s="1"/>
  <c r="K81" i="1" s="1"/>
  <c r="K82" i="1" s="1"/>
  <c r="K83" i="1" s="1"/>
  <c r="K84" i="1" s="1"/>
  <c r="K85" i="1" s="1"/>
  <c r="K86" i="1" s="1"/>
  <c r="K87" i="1" s="1"/>
  <c r="K88" i="1" s="1"/>
  <c r="K89" i="1" s="1"/>
  <c r="K90" i="1" s="1"/>
  <c r="K91" i="1" s="1"/>
  <c r="K92" i="1" s="1"/>
  <c r="K93" i="1" s="1"/>
  <c r="K94" i="1" s="1"/>
  <c r="K95" i="1" s="1"/>
  <c r="D23" i="2"/>
  <c r="E23" i="2"/>
  <c r="F23" i="2"/>
  <c r="J23" i="2" s="1"/>
  <c r="C23" i="2"/>
  <c r="C24" i="2" s="1"/>
  <c r="J71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K51" i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I51" i="1"/>
  <c r="D19" i="2"/>
  <c r="E19" i="2"/>
  <c r="F19" i="2"/>
  <c r="C19" i="2"/>
  <c r="C20" i="2" s="1"/>
  <c r="K8" i="2"/>
  <c r="K23" i="1"/>
  <c r="K24" i="1" s="1"/>
  <c r="K25" i="1" s="1"/>
  <c r="K26" i="1" s="1"/>
  <c r="K27" i="1" s="1"/>
  <c r="J43" i="1"/>
  <c r="C9" i="6" l="1"/>
  <c r="C8" i="6"/>
  <c r="C7" i="6"/>
  <c r="O24" i="8"/>
  <c r="O10" i="11"/>
  <c r="R9" i="11"/>
  <c r="Q24" i="8"/>
  <c r="Q10" i="11"/>
  <c r="Y11" i="2"/>
  <c r="AE13" i="2"/>
  <c r="Z13" i="2"/>
  <c r="AA11" i="2"/>
  <c r="E11" i="2"/>
  <c r="E24" i="2" s="1"/>
  <c r="F11" i="2"/>
  <c r="F24" i="2" s="1"/>
  <c r="Z11" i="2"/>
  <c r="K28" i="1"/>
  <c r="K29" i="1" s="1"/>
  <c r="K30" i="1" s="1"/>
  <c r="K9" i="2"/>
  <c r="K9" i="3" s="1"/>
  <c r="M13" i="2"/>
  <c r="J9" i="2"/>
  <c r="J8" i="4" s="1"/>
  <c r="AE11" i="2"/>
  <c r="D9" i="2"/>
  <c r="D20" i="2" s="1"/>
  <c r="X13" i="2"/>
  <c r="AF8" i="2"/>
  <c r="AG13" i="2"/>
  <c r="AH8" i="2"/>
  <c r="J11" i="2"/>
  <c r="J24" i="2" s="1"/>
  <c r="K13" i="2"/>
  <c r="AH13" i="2"/>
  <c r="Q8" i="2"/>
  <c r="R8" i="2"/>
  <c r="F9" i="2"/>
  <c r="F8" i="4" s="1"/>
  <c r="H8" i="4" s="1"/>
  <c r="L11" i="2"/>
  <c r="R13" i="2"/>
  <c r="E9" i="2"/>
  <c r="E20" i="2" s="1"/>
  <c r="M11" i="2"/>
  <c r="R11" i="2"/>
  <c r="S11" i="2"/>
  <c r="Y13" i="2"/>
  <c r="E8" i="2"/>
  <c r="T11" i="2"/>
  <c r="F13" i="2"/>
  <c r="F28" i="2" s="1"/>
  <c r="D8" i="2"/>
  <c r="AA8" i="2"/>
  <c r="X11" i="2"/>
  <c r="E13" i="2"/>
  <c r="E28" i="2" s="1"/>
  <c r="AA13" i="2"/>
  <c r="AF13" i="2"/>
  <c r="L8" i="2"/>
  <c r="AG8" i="2"/>
  <c r="L13" i="2"/>
  <c r="M8" i="2"/>
  <c r="K11" i="2"/>
  <c r="AF11" i="2"/>
  <c r="Q13" i="2"/>
  <c r="AG11" i="2"/>
  <c r="S8" i="2"/>
  <c r="AH11" i="2"/>
  <c r="S13" i="2"/>
  <c r="T8" i="2"/>
  <c r="Q11" i="2"/>
  <c r="T13" i="2"/>
  <c r="X8" i="2"/>
  <c r="F8" i="2"/>
  <c r="Y8" i="2"/>
  <c r="Z8" i="2"/>
  <c r="J8" i="2"/>
  <c r="AE8" i="2"/>
  <c r="D11" i="2"/>
  <c r="D24" i="2" s="1"/>
  <c r="J13" i="2"/>
  <c r="K7" i="4"/>
  <c r="K8" i="3"/>
  <c r="C35" i="2"/>
  <c r="C9" i="4"/>
  <c r="C11" i="4" s="1"/>
  <c r="C10" i="3"/>
  <c r="C13" i="3" s="1"/>
  <c r="J34" i="2"/>
  <c r="K34" i="2" s="1"/>
  <c r="F9" i="4"/>
  <c r="F10" i="3"/>
  <c r="E9" i="4"/>
  <c r="E10" i="3"/>
  <c r="D9" i="4"/>
  <c r="D10" i="3"/>
  <c r="D28" i="2"/>
  <c r="D35" i="2"/>
  <c r="H34" i="2"/>
  <c r="C30" i="2"/>
  <c r="K27" i="2"/>
  <c r="H27" i="2"/>
  <c r="K23" i="2"/>
  <c r="H23" i="2"/>
  <c r="J19" i="2"/>
  <c r="K19" i="2" s="1"/>
  <c r="L19" i="2" s="1"/>
  <c r="H19" i="2"/>
  <c r="C10" i="6" l="1"/>
  <c r="C7" i="10" s="1"/>
  <c r="K15" i="2"/>
  <c r="D9" i="6"/>
  <c r="F9" i="6"/>
  <c r="E9" i="6"/>
  <c r="E8" i="6"/>
  <c r="D8" i="6"/>
  <c r="F8" i="6"/>
  <c r="J8" i="6"/>
  <c r="E7" i="6"/>
  <c r="D7" i="6"/>
  <c r="D13" i="6"/>
  <c r="C22" i="8"/>
  <c r="C13" i="6"/>
  <c r="S9" i="11"/>
  <c r="R24" i="8"/>
  <c r="R10" i="11"/>
  <c r="AE8" i="3"/>
  <c r="F7" i="4"/>
  <c r="F11" i="4" s="1"/>
  <c r="L7" i="4"/>
  <c r="J7" i="4"/>
  <c r="D8" i="3"/>
  <c r="D13" i="3" s="1"/>
  <c r="Q7" i="4"/>
  <c r="T8" i="3"/>
  <c r="AA7" i="4"/>
  <c r="Y8" i="3"/>
  <c r="M7" i="4"/>
  <c r="E8" i="3"/>
  <c r="E13" i="3" s="1"/>
  <c r="X8" i="3"/>
  <c r="AG8" i="3"/>
  <c r="AH8" i="3"/>
  <c r="AF7" i="4"/>
  <c r="Z15" i="2"/>
  <c r="O11" i="2"/>
  <c r="T7" i="4"/>
  <c r="E35" i="2"/>
  <c r="V11" i="2"/>
  <c r="Y15" i="2"/>
  <c r="E15" i="2"/>
  <c r="AG7" i="4"/>
  <c r="Q15" i="2"/>
  <c r="AJ11" i="2"/>
  <c r="Q8" i="3"/>
  <c r="K8" i="4"/>
  <c r="S15" i="2"/>
  <c r="AC11" i="2"/>
  <c r="V13" i="2"/>
  <c r="D8" i="4"/>
  <c r="D9" i="3"/>
  <c r="R15" i="2"/>
  <c r="V8" i="2"/>
  <c r="V8" i="3" s="1"/>
  <c r="F9" i="3"/>
  <c r="H9" i="3" s="1"/>
  <c r="AA8" i="3"/>
  <c r="H9" i="2"/>
  <c r="D7" i="4"/>
  <c r="D11" i="4" s="1"/>
  <c r="D12" i="4" s="1"/>
  <c r="Z7" i="4"/>
  <c r="AE15" i="2"/>
  <c r="Y7" i="4"/>
  <c r="X15" i="2"/>
  <c r="E7" i="4"/>
  <c r="E11" i="4" s="1"/>
  <c r="F8" i="3"/>
  <c r="F13" i="3" s="1"/>
  <c r="AA15" i="2"/>
  <c r="X7" i="4"/>
  <c r="J9" i="3"/>
  <c r="J35" i="2"/>
  <c r="F20" i="2"/>
  <c r="AC8" i="2"/>
  <c r="AC7" i="4" s="1"/>
  <c r="Z8" i="3"/>
  <c r="R7" i="4"/>
  <c r="AG15" i="2"/>
  <c r="R8" i="3"/>
  <c r="L9" i="2"/>
  <c r="L9" i="3" s="1"/>
  <c r="AJ13" i="2"/>
  <c r="H13" i="2"/>
  <c r="AC13" i="2"/>
  <c r="O13" i="2"/>
  <c r="AH15" i="2"/>
  <c r="M15" i="2"/>
  <c r="F35" i="2"/>
  <c r="J8" i="3"/>
  <c r="L8" i="3"/>
  <c r="O8" i="2"/>
  <c r="O7" i="4" s="1"/>
  <c r="T15" i="2"/>
  <c r="E9" i="3"/>
  <c r="L15" i="2"/>
  <c r="S8" i="3"/>
  <c r="AF15" i="2"/>
  <c r="S7" i="4"/>
  <c r="AE7" i="4"/>
  <c r="AH7" i="4"/>
  <c r="M9" i="2"/>
  <c r="J15" i="2"/>
  <c r="D15" i="2"/>
  <c r="AJ8" i="2"/>
  <c r="AJ8" i="3" s="1"/>
  <c r="H11" i="2"/>
  <c r="F15" i="2"/>
  <c r="E8" i="4"/>
  <c r="AF8" i="3"/>
  <c r="H8" i="2"/>
  <c r="H8" i="3" s="1"/>
  <c r="J28" i="2"/>
  <c r="M8" i="3"/>
  <c r="K31" i="1"/>
  <c r="R9" i="2" s="1"/>
  <c r="Q9" i="2"/>
  <c r="C53" i="2"/>
  <c r="C55" i="2"/>
  <c r="C13" i="4"/>
  <c r="C17" i="4" s="1"/>
  <c r="C12" i="4"/>
  <c r="H10" i="3"/>
  <c r="H9" i="4"/>
  <c r="K10" i="3"/>
  <c r="K13" i="3" s="1"/>
  <c r="K9" i="4"/>
  <c r="K11" i="4" s="1"/>
  <c r="J9" i="4"/>
  <c r="J10" i="3"/>
  <c r="C14" i="3"/>
  <c r="C15" i="3" s="1"/>
  <c r="C49" i="2"/>
  <c r="C51" i="2"/>
  <c r="C45" i="2"/>
  <c r="C47" i="2"/>
  <c r="C43" i="2"/>
  <c r="C41" i="2"/>
  <c r="C37" i="2"/>
  <c r="H28" i="2"/>
  <c r="L34" i="2"/>
  <c r="K35" i="2"/>
  <c r="D30" i="2"/>
  <c r="E30" i="2"/>
  <c r="L27" i="2"/>
  <c r="K28" i="2"/>
  <c r="H24" i="2"/>
  <c r="L23" i="2"/>
  <c r="K24" i="2"/>
  <c r="J20" i="2"/>
  <c r="M19" i="2"/>
  <c r="K20" i="2"/>
  <c r="C9" i="10" l="1"/>
  <c r="C19" i="10"/>
  <c r="C29" i="11" s="1"/>
  <c r="C15" i="6"/>
  <c r="C16" i="6" s="1"/>
  <c r="D10" i="6"/>
  <c r="D9" i="10" s="1"/>
  <c r="H9" i="6"/>
  <c r="H8" i="6"/>
  <c r="E10" i="6"/>
  <c r="E7" i="10" s="1"/>
  <c r="K9" i="6"/>
  <c r="J9" i="6"/>
  <c r="K8" i="6"/>
  <c r="F7" i="6"/>
  <c r="F10" i="6" s="1"/>
  <c r="F9" i="10" s="1"/>
  <c r="C19" i="6"/>
  <c r="C13" i="11"/>
  <c r="C15" i="11"/>
  <c r="C21" i="6"/>
  <c r="C26" i="6"/>
  <c r="C20" i="6"/>
  <c r="C22" i="6"/>
  <c r="C24" i="6"/>
  <c r="C23" i="6"/>
  <c r="K7" i="6"/>
  <c r="C25" i="6"/>
  <c r="D22" i="8"/>
  <c r="J13" i="6"/>
  <c r="K13" i="6"/>
  <c r="E13" i="6"/>
  <c r="K22" i="8"/>
  <c r="K25" i="8" s="1"/>
  <c r="E22" i="8"/>
  <c r="E25" i="8" s="1"/>
  <c r="F22" i="8"/>
  <c r="F25" i="8" s="1"/>
  <c r="F13" i="6"/>
  <c r="C29" i="8"/>
  <c r="C32" i="8" s="1"/>
  <c r="T9" i="11"/>
  <c r="S24" i="8"/>
  <c r="S10" i="11"/>
  <c r="J11" i="4"/>
  <c r="J12" i="4" s="1"/>
  <c r="J13" i="3"/>
  <c r="C20" i="3"/>
  <c r="O8" i="3"/>
  <c r="AJ7" i="4"/>
  <c r="F12" i="4"/>
  <c r="F13" i="4"/>
  <c r="F17" i="4" s="1"/>
  <c r="K13" i="4"/>
  <c r="K17" i="4" s="1"/>
  <c r="K12" i="4"/>
  <c r="E12" i="4"/>
  <c r="E13" i="4"/>
  <c r="E17" i="4" s="1"/>
  <c r="V15" i="2"/>
  <c r="AC15" i="2"/>
  <c r="H13" i="3"/>
  <c r="H11" i="4"/>
  <c r="H20" i="2"/>
  <c r="H30" i="2" s="1"/>
  <c r="V7" i="4"/>
  <c r="AJ15" i="2"/>
  <c r="L20" i="2"/>
  <c r="D13" i="4"/>
  <c r="D17" i="4" s="1"/>
  <c r="L8" i="4"/>
  <c r="AC8" i="3"/>
  <c r="O15" i="2"/>
  <c r="F30" i="2"/>
  <c r="F43" i="2" s="1"/>
  <c r="R8" i="4"/>
  <c r="R9" i="3"/>
  <c r="J30" i="2"/>
  <c r="J51" i="2" s="1"/>
  <c r="J7" i="6"/>
  <c r="H15" i="2"/>
  <c r="K32" i="1"/>
  <c r="O9" i="2"/>
  <c r="M8" i="4"/>
  <c r="O8" i="4" s="1"/>
  <c r="M9" i="3"/>
  <c r="O9" i="3" s="1"/>
  <c r="H7" i="4"/>
  <c r="H35" i="2"/>
  <c r="Q9" i="3"/>
  <c r="Q8" i="4"/>
  <c r="C19" i="4"/>
  <c r="C58" i="2"/>
  <c r="C59" i="2" s="1"/>
  <c r="E53" i="2"/>
  <c r="E55" i="2"/>
  <c r="D53" i="2"/>
  <c r="D55" i="2"/>
  <c r="C16" i="3"/>
  <c r="L10" i="3"/>
  <c r="L13" i="3" s="1"/>
  <c r="L9" i="4"/>
  <c r="L11" i="4" s="1"/>
  <c r="C38" i="2"/>
  <c r="E49" i="2"/>
  <c r="E51" i="2"/>
  <c r="E47" i="2"/>
  <c r="E45" i="2"/>
  <c r="D49" i="2"/>
  <c r="D51" i="2"/>
  <c r="D45" i="2"/>
  <c r="D47" i="2"/>
  <c r="E43" i="2"/>
  <c r="E41" i="2"/>
  <c r="D41" i="2"/>
  <c r="D43" i="2"/>
  <c r="D37" i="2"/>
  <c r="E37" i="2"/>
  <c r="M34" i="2"/>
  <c r="L35" i="2"/>
  <c r="M27" i="2"/>
  <c r="L28" i="2"/>
  <c r="K30" i="2"/>
  <c r="M23" i="2"/>
  <c r="L24" i="2"/>
  <c r="O19" i="2"/>
  <c r="M20" i="2"/>
  <c r="Q19" i="2"/>
  <c r="D7" i="10" l="1"/>
  <c r="D15" i="6"/>
  <c r="D16" i="6" s="1"/>
  <c r="D19" i="10"/>
  <c r="D29" i="11" s="1"/>
  <c r="E19" i="10"/>
  <c r="E29" i="11" s="1"/>
  <c r="H13" i="6"/>
  <c r="H7" i="6"/>
  <c r="H10" i="6" s="1"/>
  <c r="E15" i="6"/>
  <c r="E16" i="6" s="1"/>
  <c r="E9" i="10"/>
  <c r="E15" i="11" s="1"/>
  <c r="K10" i="6"/>
  <c r="K15" i="6" s="1"/>
  <c r="K16" i="6" s="1"/>
  <c r="F15" i="6"/>
  <c r="F16" i="6" s="1"/>
  <c r="F7" i="10"/>
  <c r="F19" i="10"/>
  <c r="F29" i="11" s="1"/>
  <c r="L9" i="6"/>
  <c r="C27" i="6"/>
  <c r="C30" i="6" s="1"/>
  <c r="L8" i="6"/>
  <c r="E13" i="11"/>
  <c r="C14" i="8"/>
  <c r="C16" i="8"/>
  <c r="D22" i="6"/>
  <c r="J24" i="6"/>
  <c r="D21" i="6"/>
  <c r="D24" i="6"/>
  <c r="F15" i="11"/>
  <c r="C15" i="8"/>
  <c r="E21" i="6"/>
  <c r="E26" i="6"/>
  <c r="F20" i="6"/>
  <c r="E22" i="6"/>
  <c r="E25" i="6"/>
  <c r="D15" i="11"/>
  <c r="D13" i="11"/>
  <c r="D19" i="6"/>
  <c r="E23" i="6"/>
  <c r="L7" i="6"/>
  <c r="D20" i="6"/>
  <c r="E24" i="6"/>
  <c r="E19" i="6"/>
  <c r="E20" i="6"/>
  <c r="D29" i="8"/>
  <c r="D32" i="8" s="1"/>
  <c r="H22" i="8"/>
  <c r="F29" i="8"/>
  <c r="L22" i="8"/>
  <c r="L25" i="8" s="1"/>
  <c r="E29" i="8"/>
  <c r="C19" i="11"/>
  <c r="L13" i="6"/>
  <c r="C23" i="8"/>
  <c r="C25" i="8" s="1"/>
  <c r="J22" i="8"/>
  <c r="J25" i="8" s="1"/>
  <c r="K29" i="8"/>
  <c r="T24" i="8"/>
  <c r="T10" i="11"/>
  <c r="V9" i="11"/>
  <c r="X9" i="11"/>
  <c r="J13" i="4"/>
  <c r="J17" i="4" s="1"/>
  <c r="C70" i="2"/>
  <c r="C33" i="11"/>
  <c r="C34" i="11" s="1"/>
  <c r="C21" i="3"/>
  <c r="C22" i="3" s="1"/>
  <c r="C64" i="2" s="1"/>
  <c r="D12" i="3"/>
  <c r="D14" i="3" s="1"/>
  <c r="D15" i="3" s="1"/>
  <c r="F55" i="2"/>
  <c r="F53" i="2"/>
  <c r="L12" i="4"/>
  <c r="L13" i="4"/>
  <c r="L17" i="4" s="1"/>
  <c r="H13" i="4"/>
  <c r="H12" i="4"/>
  <c r="J47" i="2"/>
  <c r="J37" i="2"/>
  <c r="J38" i="2" s="1"/>
  <c r="H17" i="4"/>
  <c r="J49" i="2"/>
  <c r="F37" i="2"/>
  <c r="F38" i="2" s="1"/>
  <c r="J43" i="2"/>
  <c r="F47" i="2"/>
  <c r="F51" i="2"/>
  <c r="F41" i="2"/>
  <c r="F45" i="2"/>
  <c r="J45" i="2"/>
  <c r="F49" i="2"/>
  <c r="J41" i="2"/>
  <c r="K33" i="1"/>
  <c r="S9" i="2"/>
  <c r="J10" i="6"/>
  <c r="O20" i="2"/>
  <c r="M7" i="6"/>
  <c r="J55" i="2"/>
  <c r="D23" i="6"/>
  <c r="J53" i="2"/>
  <c r="D26" i="6"/>
  <c r="D25" i="6"/>
  <c r="H37" i="2"/>
  <c r="H38" i="2" s="1"/>
  <c r="E58" i="2"/>
  <c r="E59" i="2" s="1"/>
  <c r="D58" i="2"/>
  <c r="D59" i="2" s="1"/>
  <c r="D16" i="4"/>
  <c r="D19" i="4" s="1"/>
  <c r="K53" i="2"/>
  <c r="K55" i="2"/>
  <c r="M10" i="3"/>
  <c r="M13" i="3" s="1"/>
  <c r="M9" i="4"/>
  <c r="M11" i="4" s="1"/>
  <c r="C61" i="2"/>
  <c r="H43" i="2"/>
  <c r="H44" i="2" s="1"/>
  <c r="E38" i="2"/>
  <c r="D38" i="2"/>
  <c r="K51" i="2"/>
  <c r="K45" i="2"/>
  <c r="K47" i="2"/>
  <c r="K49" i="2"/>
  <c r="K43" i="2"/>
  <c r="K41" i="2"/>
  <c r="K37" i="2"/>
  <c r="O34" i="2"/>
  <c r="M35" i="2"/>
  <c r="Q34" i="2"/>
  <c r="L30" i="2"/>
  <c r="O27" i="2"/>
  <c r="Q27" i="2"/>
  <c r="M28" i="2"/>
  <c r="M24" i="2"/>
  <c r="O23" i="2"/>
  <c r="Q23" i="2"/>
  <c r="R19" i="2"/>
  <c r="Q20" i="2"/>
  <c r="H15" i="6" l="1"/>
  <c r="H16" i="6" s="1"/>
  <c r="C28" i="6"/>
  <c r="C15" i="10"/>
  <c r="C38" i="6"/>
  <c r="H19" i="10"/>
  <c r="H20" i="6"/>
  <c r="L10" i="6"/>
  <c r="L15" i="6" s="1"/>
  <c r="L16" i="6" s="1"/>
  <c r="K19" i="10"/>
  <c r="K29" i="11" s="1"/>
  <c r="K7" i="10"/>
  <c r="K13" i="11" s="1"/>
  <c r="F13" i="11"/>
  <c r="H29" i="8"/>
  <c r="M9" i="6"/>
  <c r="O9" i="6" s="1"/>
  <c r="E16" i="8"/>
  <c r="E27" i="6"/>
  <c r="E15" i="10" s="1"/>
  <c r="D15" i="8"/>
  <c r="F14" i="8"/>
  <c r="K26" i="6"/>
  <c r="K22" i="6"/>
  <c r="K25" i="6"/>
  <c r="K21" i="6"/>
  <c r="J26" i="6"/>
  <c r="J21" i="6"/>
  <c r="J22" i="6"/>
  <c r="K20" i="6"/>
  <c r="K23" i="6"/>
  <c r="J25" i="6"/>
  <c r="J23" i="6"/>
  <c r="F23" i="6"/>
  <c r="H23" i="6" s="1"/>
  <c r="K24" i="6"/>
  <c r="F21" i="6"/>
  <c r="H21" i="6" s="1"/>
  <c r="D16" i="8"/>
  <c r="J19" i="6"/>
  <c r="F16" i="8"/>
  <c r="Q7" i="6"/>
  <c r="F24" i="6"/>
  <c r="H24" i="6" s="1"/>
  <c r="F22" i="6"/>
  <c r="H22" i="6" s="1"/>
  <c r="J20" i="6"/>
  <c r="F25" i="6"/>
  <c r="H25" i="6" s="1"/>
  <c r="F19" i="6"/>
  <c r="H19" i="6" s="1"/>
  <c r="D14" i="8"/>
  <c r="E15" i="8"/>
  <c r="K19" i="6"/>
  <c r="F26" i="6"/>
  <c r="H26" i="6" s="1"/>
  <c r="J29" i="8"/>
  <c r="L29" i="8"/>
  <c r="C33" i="6"/>
  <c r="C34" i="6" s="1"/>
  <c r="C39" i="6" s="1"/>
  <c r="C40" i="6" s="1"/>
  <c r="C7" i="8"/>
  <c r="Y9" i="11"/>
  <c r="X24" i="8"/>
  <c r="X10" i="11"/>
  <c r="V24" i="8"/>
  <c r="V10" i="11"/>
  <c r="C31" i="6"/>
  <c r="D16" i="3"/>
  <c r="C23" i="3"/>
  <c r="O13" i="3"/>
  <c r="M22" i="8"/>
  <c r="M25" i="8" s="1"/>
  <c r="E14" i="8"/>
  <c r="D20" i="3"/>
  <c r="J15" i="6"/>
  <c r="J16" i="6" s="1"/>
  <c r="J19" i="10"/>
  <c r="J7" i="10"/>
  <c r="D70" i="2"/>
  <c r="D33" i="11"/>
  <c r="D34" i="11" s="1"/>
  <c r="H53" i="2"/>
  <c r="H54" i="2" s="1"/>
  <c r="H55" i="2"/>
  <c r="H56" i="2" s="1"/>
  <c r="M13" i="4"/>
  <c r="M17" i="4" s="1"/>
  <c r="M12" i="4"/>
  <c r="H47" i="2"/>
  <c r="H48" i="2" s="1"/>
  <c r="F58" i="2"/>
  <c r="F59" i="2" s="1"/>
  <c r="H49" i="2"/>
  <c r="H50" i="2" s="1"/>
  <c r="H41" i="2"/>
  <c r="H42" i="2" s="1"/>
  <c r="H51" i="2"/>
  <c r="H52" i="2" s="1"/>
  <c r="H45" i="2"/>
  <c r="H46" i="2" s="1"/>
  <c r="D27" i="6"/>
  <c r="D15" i="10" s="1"/>
  <c r="J58" i="2"/>
  <c r="J59" i="2" s="1"/>
  <c r="S8" i="4"/>
  <c r="S9" i="3"/>
  <c r="O35" i="2"/>
  <c r="M13" i="6"/>
  <c r="O13" i="6" s="1"/>
  <c r="O24" i="2"/>
  <c r="M8" i="6"/>
  <c r="O8" i="6" s="1"/>
  <c r="O7" i="6"/>
  <c r="K34" i="1"/>
  <c r="T9" i="2"/>
  <c r="K58" i="2"/>
  <c r="K59" i="2" s="1"/>
  <c r="L53" i="2"/>
  <c r="L55" i="2"/>
  <c r="E16" i="4"/>
  <c r="E18" i="4" s="1"/>
  <c r="O11" i="4"/>
  <c r="Q9" i="4"/>
  <c r="Q11" i="4" s="1"/>
  <c r="Q10" i="3"/>
  <c r="Q13" i="3" s="1"/>
  <c r="O9" i="4"/>
  <c r="O10" i="3"/>
  <c r="C62" i="2"/>
  <c r="C66" i="2"/>
  <c r="E61" i="2"/>
  <c r="D61" i="2"/>
  <c r="L51" i="2"/>
  <c r="L45" i="2"/>
  <c r="L49" i="2"/>
  <c r="L47" i="2"/>
  <c r="K38" i="2"/>
  <c r="L43" i="2"/>
  <c r="L41" i="2"/>
  <c r="L37" i="2"/>
  <c r="R34" i="2"/>
  <c r="Q35" i="2"/>
  <c r="M30" i="2"/>
  <c r="O28" i="2"/>
  <c r="Q28" i="2"/>
  <c r="R27" i="2"/>
  <c r="R23" i="2"/>
  <c r="Q24" i="2"/>
  <c r="R20" i="2"/>
  <c r="S19" i="2"/>
  <c r="L7" i="10" l="1"/>
  <c r="H20" i="10"/>
  <c r="L9" i="10"/>
  <c r="L11" i="10" s="1"/>
  <c r="L19" i="10"/>
  <c r="L29" i="11" s="1"/>
  <c r="H29" i="11"/>
  <c r="H14" i="8" s="1"/>
  <c r="D38" i="6"/>
  <c r="E30" i="6"/>
  <c r="E28" i="6"/>
  <c r="F15" i="8"/>
  <c r="Q9" i="6"/>
  <c r="K27" i="6"/>
  <c r="K15" i="10" s="1"/>
  <c r="Q8" i="6"/>
  <c r="J27" i="6"/>
  <c r="J15" i="10" s="1"/>
  <c r="L25" i="6"/>
  <c r="R7" i="6"/>
  <c r="L19" i="6"/>
  <c r="L22" i="6"/>
  <c r="L23" i="6"/>
  <c r="F27" i="6"/>
  <c r="F15" i="10" s="1"/>
  <c r="L20" i="6"/>
  <c r="L21" i="6"/>
  <c r="L24" i="6"/>
  <c r="L26" i="6"/>
  <c r="J13" i="11"/>
  <c r="L13" i="11"/>
  <c r="Q13" i="6"/>
  <c r="E12" i="3"/>
  <c r="E14" i="3" s="1"/>
  <c r="E15" i="3" s="1"/>
  <c r="D23" i="8"/>
  <c r="D25" i="8" s="1"/>
  <c r="E27" i="11"/>
  <c r="Q22" i="8"/>
  <c r="Q25" i="8" s="1"/>
  <c r="E30" i="8"/>
  <c r="D19" i="3"/>
  <c r="D21" i="3" s="1"/>
  <c r="D22" i="3" s="1"/>
  <c r="D64" i="2" s="1"/>
  <c r="Z9" i="11"/>
  <c r="Y24" i="8"/>
  <c r="Y10" i="11"/>
  <c r="C20" i="11"/>
  <c r="C21" i="11" s="1"/>
  <c r="D19" i="11"/>
  <c r="O17" i="4"/>
  <c r="M29" i="8"/>
  <c r="O22" i="8"/>
  <c r="C35" i="6"/>
  <c r="J29" i="11"/>
  <c r="D30" i="6"/>
  <c r="D27" i="11"/>
  <c r="H20" i="3"/>
  <c r="H58" i="2"/>
  <c r="H59" i="2" s="1"/>
  <c r="E25" i="4"/>
  <c r="E23" i="4"/>
  <c r="E19" i="4"/>
  <c r="Q13" i="4"/>
  <c r="Q17" i="4" s="1"/>
  <c r="Q12" i="4"/>
  <c r="O13" i="4"/>
  <c r="O12" i="4"/>
  <c r="F61" i="2"/>
  <c r="F62" i="2" s="1"/>
  <c r="D28" i="6"/>
  <c r="J61" i="2"/>
  <c r="J62" i="2" s="1"/>
  <c r="O30" i="2"/>
  <c r="O37" i="2" s="1"/>
  <c r="O38" i="2" s="1"/>
  <c r="M10" i="6"/>
  <c r="T9" i="3"/>
  <c r="V9" i="3" s="1"/>
  <c r="V9" i="2"/>
  <c r="T8" i="4"/>
  <c r="V8" i="4" s="1"/>
  <c r="K35" i="1"/>
  <c r="X9" i="2"/>
  <c r="O10" i="6"/>
  <c r="C67" i="2"/>
  <c r="C72" i="2"/>
  <c r="M53" i="2"/>
  <c r="M55" i="2"/>
  <c r="L58" i="2"/>
  <c r="L61" i="2" s="1"/>
  <c r="R10" i="3"/>
  <c r="R13" i="3" s="1"/>
  <c r="R9" i="4"/>
  <c r="R11" i="4" s="1"/>
  <c r="E62" i="2"/>
  <c r="K61" i="2"/>
  <c r="D62" i="2"/>
  <c r="M51" i="2"/>
  <c r="M45" i="2"/>
  <c r="M47" i="2"/>
  <c r="M49" i="2"/>
  <c r="L38" i="2"/>
  <c r="M43" i="2"/>
  <c r="M41" i="2"/>
  <c r="M37" i="2"/>
  <c r="S34" i="2"/>
  <c r="R35" i="2"/>
  <c r="S27" i="2"/>
  <c r="R28" i="2"/>
  <c r="Q30" i="2"/>
  <c r="S23" i="2"/>
  <c r="R24" i="2"/>
  <c r="T19" i="2"/>
  <c r="S20" i="2"/>
  <c r="L15" i="11" l="1"/>
  <c r="E31" i="6"/>
  <c r="E7" i="8"/>
  <c r="Q10" i="6"/>
  <c r="Q19" i="10" s="1"/>
  <c r="K28" i="6"/>
  <c r="K30" i="6"/>
  <c r="J27" i="11"/>
  <c r="H23" i="8"/>
  <c r="H25" i="8" s="1"/>
  <c r="J30" i="6"/>
  <c r="F28" i="6"/>
  <c r="R9" i="6"/>
  <c r="R8" i="6"/>
  <c r="L27" i="6"/>
  <c r="L28" i="6" s="1"/>
  <c r="J28" i="6"/>
  <c r="J15" i="8"/>
  <c r="O15" i="6"/>
  <c r="O16" i="6" s="1"/>
  <c r="F27" i="11"/>
  <c r="S7" i="6"/>
  <c r="M19" i="6"/>
  <c r="O19" i="6" s="1"/>
  <c r="H27" i="6"/>
  <c r="H28" i="6" s="1"/>
  <c r="F30" i="6"/>
  <c r="M25" i="6"/>
  <c r="O25" i="6" s="1"/>
  <c r="L15" i="8"/>
  <c r="K15" i="8"/>
  <c r="M24" i="6"/>
  <c r="O24" i="6" s="1"/>
  <c r="L14" i="8"/>
  <c r="R22" i="8"/>
  <c r="R25" i="8" s="1"/>
  <c r="D33" i="6"/>
  <c r="D34" i="6" s="1"/>
  <c r="D35" i="6" s="1"/>
  <c r="D7" i="8"/>
  <c r="E16" i="3"/>
  <c r="R13" i="6"/>
  <c r="Q29" i="8"/>
  <c r="K27" i="11"/>
  <c r="E33" i="11"/>
  <c r="E34" i="11" s="1"/>
  <c r="O25" i="8"/>
  <c r="D16" i="15"/>
  <c r="AA9" i="11"/>
  <c r="Z10" i="11"/>
  <c r="Z24" i="8"/>
  <c r="D31" i="6"/>
  <c r="D66" i="2"/>
  <c r="D72" i="2" s="1"/>
  <c r="D75" i="2" s="1"/>
  <c r="O29" i="8"/>
  <c r="E12" i="8"/>
  <c r="J14" i="8"/>
  <c r="K14" i="8"/>
  <c r="D23" i="3"/>
  <c r="M15" i="6"/>
  <c r="M16" i="6" s="1"/>
  <c r="M19" i="10"/>
  <c r="M9" i="10"/>
  <c r="M7" i="10"/>
  <c r="C73" i="2"/>
  <c r="C75" i="2"/>
  <c r="E21" i="4"/>
  <c r="E24" i="4"/>
  <c r="O53" i="2"/>
  <c r="O54" i="2" s="1"/>
  <c r="H61" i="2"/>
  <c r="H62" i="2" s="1"/>
  <c r="R13" i="4"/>
  <c r="R17" i="4" s="1"/>
  <c r="R12" i="4"/>
  <c r="F16" i="4"/>
  <c r="F18" i="4" s="1"/>
  <c r="X9" i="3"/>
  <c r="X8" i="4"/>
  <c r="O51" i="2"/>
  <c r="O52" i="2" s="1"/>
  <c r="O55" i="2"/>
  <c r="O56" i="2" s="1"/>
  <c r="M26" i="6"/>
  <c r="O26" i="6" s="1"/>
  <c r="O45" i="2"/>
  <c r="O46" i="2" s="1"/>
  <c r="M21" i="6"/>
  <c r="O21" i="6" s="1"/>
  <c r="K36" i="1"/>
  <c r="Y9" i="2"/>
  <c r="O43" i="2"/>
  <c r="O44" i="2" s="1"/>
  <c r="M20" i="6"/>
  <c r="O20" i="6" s="1"/>
  <c r="O49" i="2"/>
  <c r="O50" i="2" s="1"/>
  <c r="M23" i="6"/>
  <c r="O23" i="6" s="1"/>
  <c r="O47" i="2"/>
  <c r="O48" i="2" s="1"/>
  <c r="M22" i="6"/>
  <c r="O22" i="6" s="1"/>
  <c r="M58" i="2"/>
  <c r="L59" i="2"/>
  <c r="Q53" i="2"/>
  <c r="Q55" i="2"/>
  <c r="S9" i="4"/>
  <c r="S11" i="4" s="1"/>
  <c r="S10" i="3"/>
  <c r="S13" i="3" s="1"/>
  <c r="K62" i="2"/>
  <c r="O41" i="2"/>
  <c r="O42" i="2" s="1"/>
  <c r="L62" i="2"/>
  <c r="Q47" i="2"/>
  <c r="Q49" i="2"/>
  <c r="Q51" i="2"/>
  <c r="Q45" i="2"/>
  <c r="M38" i="2"/>
  <c r="Q41" i="2"/>
  <c r="Q43" i="2"/>
  <c r="Q37" i="2"/>
  <c r="T34" i="2"/>
  <c r="S35" i="2"/>
  <c r="R30" i="2"/>
  <c r="T27" i="2"/>
  <c r="S28" i="2"/>
  <c r="T23" i="2"/>
  <c r="S24" i="2"/>
  <c r="V19" i="2"/>
  <c r="T20" i="2"/>
  <c r="X19" i="2"/>
  <c r="Q7" i="10" l="1"/>
  <c r="H30" i="6"/>
  <c r="H31" i="6" s="1"/>
  <c r="Q15" i="6"/>
  <c r="Q16" i="6" s="1"/>
  <c r="C16" i="15"/>
  <c r="K7" i="8"/>
  <c r="R10" i="6"/>
  <c r="R15" i="6" s="1"/>
  <c r="R16" i="6" s="1"/>
  <c r="K31" i="6"/>
  <c r="J12" i="8"/>
  <c r="F31" i="6"/>
  <c r="F12" i="8"/>
  <c r="L15" i="10"/>
  <c r="L27" i="11" s="1"/>
  <c r="L30" i="6"/>
  <c r="L31" i="6" s="1"/>
  <c r="J7" i="8"/>
  <c r="J31" i="6"/>
  <c r="E19" i="11"/>
  <c r="F7" i="8"/>
  <c r="H7" i="8" s="1"/>
  <c r="F12" i="3"/>
  <c r="F14" i="3" s="1"/>
  <c r="F15" i="3" s="1"/>
  <c r="H15" i="3" s="1"/>
  <c r="H16" i="3" s="1"/>
  <c r="K12" i="8"/>
  <c r="S9" i="6"/>
  <c r="S8" i="6"/>
  <c r="Q19" i="6"/>
  <c r="Q20" i="6"/>
  <c r="Q26" i="6"/>
  <c r="Q21" i="6"/>
  <c r="Q25" i="6"/>
  <c r="Q24" i="6"/>
  <c r="Q22" i="6"/>
  <c r="Q23" i="6"/>
  <c r="S22" i="8"/>
  <c r="S25" i="8" s="1"/>
  <c r="D42" i="6"/>
  <c r="S13" i="6"/>
  <c r="C76" i="2"/>
  <c r="C77" i="2" s="1"/>
  <c r="F30" i="8"/>
  <c r="H30" i="8" s="1"/>
  <c r="R29" i="8"/>
  <c r="E19" i="3"/>
  <c r="E21" i="3" s="1"/>
  <c r="E22" i="3" s="1"/>
  <c r="E64" i="2" s="1"/>
  <c r="AA24" i="8"/>
  <c r="AA10" i="11"/>
  <c r="AC9" i="11"/>
  <c r="AE9" i="11"/>
  <c r="D67" i="2"/>
  <c r="D39" i="6"/>
  <c r="D73" i="2"/>
  <c r="E70" i="2"/>
  <c r="E31" i="8"/>
  <c r="D20" i="11"/>
  <c r="D21" i="11" s="1"/>
  <c r="O7" i="10"/>
  <c r="M13" i="11"/>
  <c r="M11" i="10"/>
  <c r="M15" i="11"/>
  <c r="Q13" i="11"/>
  <c r="M29" i="11"/>
  <c r="O19" i="10"/>
  <c r="Q29" i="11"/>
  <c r="C42" i="6"/>
  <c r="D76" i="2"/>
  <c r="D77" i="2" s="1"/>
  <c r="M59" i="2"/>
  <c r="M61" i="2"/>
  <c r="O58" i="2"/>
  <c r="O59" i="2" s="1"/>
  <c r="F19" i="4"/>
  <c r="F25" i="4"/>
  <c r="F23" i="4"/>
  <c r="H23" i="4" s="1"/>
  <c r="S13" i="4"/>
  <c r="S17" i="4" s="1"/>
  <c r="S12" i="4"/>
  <c r="M27" i="6"/>
  <c r="M15" i="10" s="1"/>
  <c r="V20" i="2"/>
  <c r="T7" i="6"/>
  <c r="K37" i="1"/>
  <c r="Z9" i="2"/>
  <c r="Y8" i="4"/>
  <c r="Y9" i="3"/>
  <c r="Q58" i="2"/>
  <c r="Q59" i="2" s="1"/>
  <c r="R53" i="2"/>
  <c r="R55" i="2"/>
  <c r="T9" i="4"/>
  <c r="T11" i="4" s="1"/>
  <c r="T10" i="3"/>
  <c r="T13" i="3" s="1"/>
  <c r="Q38" i="2"/>
  <c r="R47" i="2"/>
  <c r="R51" i="2"/>
  <c r="R49" i="2"/>
  <c r="R45" i="2"/>
  <c r="R43" i="2"/>
  <c r="R41" i="2"/>
  <c r="R37" i="2"/>
  <c r="V34" i="2"/>
  <c r="X34" i="2"/>
  <c r="T35" i="2"/>
  <c r="S30" i="2"/>
  <c r="V27" i="2"/>
  <c r="X27" i="2"/>
  <c r="T28" i="2"/>
  <c r="V23" i="2"/>
  <c r="T24" i="2"/>
  <c r="X23" i="2"/>
  <c r="Y19" i="2"/>
  <c r="X20" i="2"/>
  <c r="R19" i="10" l="1"/>
  <c r="R29" i="11" s="1"/>
  <c r="R7" i="10"/>
  <c r="R13" i="11" s="1"/>
  <c r="S10" i="6"/>
  <c r="S7" i="10" s="1"/>
  <c r="L7" i="8"/>
  <c r="E23" i="3"/>
  <c r="F16" i="3"/>
  <c r="D43" i="6"/>
  <c r="D44" i="6" s="1"/>
  <c r="Q27" i="6"/>
  <c r="Q30" i="6" s="1"/>
  <c r="X7" i="6"/>
  <c r="M15" i="8"/>
  <c r="R26" i="6"/>
  <c r="R21" i="6"/>
  <c r="R24" i="6"/>
  <c r="M16" i="8"/>
  <c r="R19" i="6"/>
  <c r="R25" i="6"/>
  <c r="R20" i="6"/>
  <c r="R23" i="6"/>
  <c r="M14" i="8"/>
  <c r="R22" i="6"/>
  <c r="S29" i="8"/>
  <c r="H19" i="11"/>
  <c r="L12" i="8"/>
  <c r="E38" i="6"/>
  <c r="F33" i="11"/>
  <c r="F34" i="11" s="1"/>
  <c r="O15" i="10"/>
  <c r="D9" i="8"/>
  <c r="D10" i="8" s="1"/>
  <c r="D17" i="10"/>
  <c r="AF9" i="11"/>
  <c r="AE24" i="8"/>
  <c r="AE10" i="11"/>
  <c r="AC24" i="8"/>
  <c r="AC10" i="11"/>
  <c r="D40" i="6"/>
  <c r="Q14" i="8"/>
  <c r="V13" i="3"/>
  <c r="T22" i="8"/>
  <c r="E32" i="8"/>
  <c r="Q15" i="8"/>
  <c r="M28" i="6"/>
  <c r="O8" i="10"/>
  <c r="O13" i="11"/>
  <c r="O20" i="10"/>
  <c r="O29" i="11"/>
  <c r="E33" i="6"/>
  <c r="E66" i="2"/>
  <c r="C43" i="6"/>
  <c r="C17" i="10"/>
  <c r="C9" i="8"/>
  <c r="H18" i="4"/>
  <c r="H19" i="4" s="1"/>
  <c r="H25" i="4"/>
  <c r="F24" i="4"/>
  <c r="H24" i="4" s="1"/>
  <c r="F21" i="4"/>
  <c r="M30" i="6"/>
  <c r="O27" i="6"/>
  <c r="O28" i="6" s="1"/>
  <c r="J16" i="4"/>
  <c r="T13" i="4"/>
  <c r="T17" i="4" s="1"/>
  <c r="T12" i="4"/>
  <c r="K38" i="1"/>
  <c r="AA9" i="2"/>
  <c r="V35" i="2"/>
  <c r="T13" i="6"/>
  <c r="V13" i="6" s="1"/>
  <c r="V28" i="2"/>
  <c r="T9" i="6"/>
  <c r="V9" i="6" s="1"/>
  <c r="V7" i="6"/>
  <c r="V24" i="2"/>
  <c r="T8" i="6"/>
  <c r="V8" i="6" s="1"/>
  <c r="Z8" i="4"/>
  <c r="Z9" i="3"/>
  <c r="Q61" i="2"/>
  <c r="Q62" i="2" s="1"/>
  <c r="S53" i="2"/>
  <c r="S55" i="2"/>
  <c r="R58" i="2"/>
  <c r="R61" i="2" s="1"/>
  <c r="V11" i="4"/>
  <c r="X9" i="4"/>
  <c r="X11" i="4" s="1"/>
  <c r="X10" i="3"/>
  <c r="X13" i="3" s="1"/>
  <c r="V9" i="4"/>
  <c r="V10" i="3"/>
  <c r="M62" i="2"/>
  <c r="O61" i="2"/>
  <c r="S47" i="2"/>
  <c r="S51" i="2"/>
  <c r="S49" i="2"/>
  <c r="S45" i="2"/>
  <c r="R38" i="2"/>
  <c r="S43" i="2"/>
  <c r="S41" i="2"/>
  <c r="S37" i="2"/>
  <c r="Y34" i="2"/>
  <c r="X35" i="2"/>
  <c r="T30" i="2"/>
  <c r="Y27" i="2"/>
  <c r="X28" i="2"/>
  <c r="Y23" i="2"/>
  <c r="X24" i="2"/>
  <c r="Z19" i="2"/>
  <c r="Y20" i="2"/>
  <c r="S15" i="6" l="1"/>
  <c r="S16" i="6" s="1"/>
  <c r="S13" i="11"/>
  <c r="S15" i="8" s="1"/>
  <c r="S19" i="10"/>
  <c r="S29" i="11" s="1"/>
  <c r="S9" i="10"/>
  <c r="S11" i="10" s="1"/>
  <c r="F19" i="11"/>
  <c r="Q28" i="6"/>
  <c r="J12" i="3"/>
  <c r="O12" i="3" s="1"/>
  <c r="Q15" i="10"/>
  <c r="Q27" i="11" s="1"/>
  <c r="E20" i="11"/>
  <c r="E21" i="11" s="1"/>
  <c r="F19" i="3"/>
  <c r="F21" i="3" s="1"/>
  <c r="F22" i="3" s="1"/>
  <c r="F23" i="3" s="1"/>
  <c r="X9" i="6"/>
  <c r="R27" i="6"/>
  <c r="R28" i="6" s="1"/>
  <c r="R14" i="8"/>
  <c r="X8" i="6"/>
  <c r="S24" i="6"/>
  <c r="S22" i="6"/>
  <c r="S25" i="6"/>
  <c r="R15" i="8"/>
  <c r="O14" i="8"/>
  <c r="Y7" i="6"/>
  <c r="S23" i="6"/>
  <c r="S19" i="6"/>
  <c r="S20" i="6"/>
  <c r="S21" i="6"/>
  <c r="S26" i="6"/>
  <c r="D28" i="11"/>
  <c r="H33" i="11"/>
  <c r="H34" i="11" s="1"/>
  <c r="X13" i="6"/>
  <c r="X22" i="8"/>
  <c r="X25" i="8" s="1"/>
  <c r="C28" i="11"/>
  <c r="Q7" i="8"/>
  <c r="F31" i="8"/>
  <c r="F32" i="8" s="1"/>
  <c r="AG9" i="11"/>
  <c r="AF24" i="8"/>
  <c r="AF10" i="11"/>
  <c r="V30" i="2"/>
  <c r="V37" i="2" s="1"/>
  <c r="V38" i="2" s="1"/>
  <c r="T25" i="8"/>
  <c r="V22" i="8"/>
  <c r="V17" i="4"/>
  <c r="T29" i="8"/>
  <c r="C44" i="6"/>
  <c r="C38" i="11"/>
  <c r="E67" i="2"/>
  <c r="E72" i="2"/>
  <c r="E34" i="6"/>
  <c r="O30" i="6"/>
  <c r="O31" i="6" s="1"/>
  <c r="M7" i="8"/>
  <c r="O7" i="8" s="1"/>
  <c r="M27" i="11"/>
  <c r="C10" i="8"/>
  <c r="M31" i="6"/>
  <c r="J18" i="4"/>
  <c r="J25" i="4"/>
  <c r="J23" i="4"/>
  <c r="F70" i="2"/>
  <c r="H21" i="4"/>
  <c r="O16" i="4"/>
  <c r="X13" i="4"/>
  <c r="X17" i="4" s="1"/>
  <c r="X12" i="4"/>
  <c r="V13" i="4"/>
  <c r="V12" i="4"/>
  <c r="Q31" i="6"/>
  <c r="V10" i="6"/>
  <c r="AC9" i="2"/>
  <c r="AA8" i="4"/>
  <c r="AC8" i="4" s="1"/>
  <c r="AA9" i="3"/>
  <c r="AC9" i="3" s="1"/>
  <c r="K39" i="1"/>
  <c r="AE9" i="2"/>
  <c r="T10" i="6"/>
  <c r="R59" i="2"/>
  <c r="T53" i="2"/>
  <c r="T55" i="2"/>
  <c r="S58" i="2"/>
  <c r="S59" i="2" s="1"/>
  <c r="Y10" i="3"/>
  <c r="Y13" i="3" s="1"/>
  <c r="Y9" i="4"/>
  <c r="Y11" i="4" s="1"/>
  <c r="O62" i="2"/>
  <c r="R62" i="2"/>
  <c r="T47" i="2"/>
  <c r="T49" i="2"/>
  <c r="T51" i="2"/>
  <c r="T45" i="2"/>
  <c r="S38" i="2"/>
  <c r="T43" i="2"/>
  <c r="T41" i="2"/>
  <c r="T37" i="2"/>
  <c r="Z34" i="2"/>
  <c r="Y35" i="2"/>
  <c r="X30" i="2"/>
  <c r="Z27" i="2"/>
  <c r="Y28" i="2"/>
  <c r="Z23" i="2"/>
  <c r="Y24" i="2"/>
  <c r="AA19" i="2"/>
  <c r="Z20" i="2"/>
  <c r="J14" i="3" l="1"/>
  <c r="J15" i="3" s="1"/>
  <c r="S15" i="11"/>
  <c r="X10" i="6"/>
  <c r="X7" i="10" s="1"/>
  <c r="R15" i="10"/>
  <c r="R27" i="11" s="1"/>
  <c r="R30" i="6"/>
  <c r="Y9" i="6"/>
  <c r="S27" i="6"/>
  <c r="S30" i="6" s="1"/>
  <c r="Y8" i="6"/>
  <c r="Z7" i="6"/>
  <c r="T19" i="6"/>
  <c r="V19" i="6" s="1"/>
  <c r="T25" i="6"/>
  <c r="V25" i="6" s="1"/>
  <c r="S14" i="8"/>
  <c r="V15" i="6"/>
  <c r="V16" i="6" s="1"/>
  <c r="C13" i="8"/>
  <c r="V25" i="8"/>
  <c r="E16" i="15"/>
  <c r="Y13" i="6"/>
  <c r="H70" i="2"/>
  <c r="H31" i="8"/>
  <c r="H32" i="8" s="1"/>
  <c r="D13" i="8"/>
  <c r="Y22" i="8"/>
  <c r="Y25" i="8" s="1"/>
  <c r="X29" i="8"/>
  <c r="D30" i="11"/>
  <c r="AH9" i="11"/>
  <c r="AG24" i="8"/>
  <c r="AG10" i="11"/>
  <c r="V29" i="8"/>
  <c r="J19" i="4"/>
  <c r="J30" i="8"/>
  <c r="C39" i="11"/>
  <c r="D38" i="11"/>
  <c r="M12" i="8"/>
  <c r="Q12" i="8"/>
  <c r="T15" i="6"/>
  <c r="T16" i="6" s="1"/>
  <c r="T7" i="10"/>
  <c r="T19" i="10"/>
  <c r="T9" i="10"/>
  <c r="E35" i="6"/>
  <c r="E39" i="6"/>
  <c r="E40" i="6" s="1"/>
  <c r="J16" i="3"/>
  <c r="O16" i="10"/>
  <c r="O27" i="11"/>
  <c r="E73" i="2"/>
  <c r="E75" i="2"/>
  <c r="J19" i="3"/>
  <c r="F20" i="11"/>
  <c r="F21" i="11" s="1"/>
  <c r="H22" i="3"/>
  <c r="H23" i="3" s="1"/>
  <c r="F64" i="2"/>
  <c r="V41" i="2"/>
  <c r="V42" i="2" s="1"/>
  <c r="F38" i="6"/>
  <c r="Y12" i="4"/>
  <c r="Y13" i="4"/>
  <c r="Y17" i="4" s="1"/>
  <c r="V53" i="2"/>
  <c r="V54" i="2" s="1"/>
  <c r="S61" i="2"/>
  <c r="S62" i="2" s="1"/>
  <c r="V51" i="2"/>
  <c r="V52" i="2" s="1"/>
  <c r="T24" i="6"/>
  <c r="V24" i="6" s="1"/>
  <c r="V47" i="2"/>
  <c r="V48" i="2" s="1"/>
  <c r="T22" i="6"/>
  <c r="V22" i="6" s="1"/>
  <c r="V55" i="2"/>
  <c r="V56" i="2" s="1"/>
  <c r="T26" i="6"/>
  <c r="V26" i="6" s="1"/>
  <c r="K40" i="1"/>
  <c r="AF9" i="2"/>
  <c r="V43" i="2"/>
  <c r="V44" i="2" s="1"/>
  <c r="T20" i="6"/>
  <c r="V20" i="6" s="1"/>
  <c r="V45" i="2"/>
  <c r="V46" i="2" s="1"/>
  <c r="T21" i="6"/>
  <c r="V21" i="6" s="1"/>
  <c r="V49" i="2"/>
  <c r="V50" i="2" s="1"/>
  <c r="T23" i="6"/>
  <c r="V23" i="6" s="1"/>
  <c r="AE8" i="4"/>
  <c r="AE9" i="3"/>
  <c r="X53" i="2"/>
  <c r="X55" i="2"/>
  <c r="T58" i="2"/>
  <c r="T61" i="2" s="1"/>
  <c r="Z9" i="4"/>
  <c r="Z11" i="4" s="1"/>
  <c r="Z10" i="3"/>
  <c r="Z13" i="3" s="1"/>
  <c r="X49" i="2"/>
  <c r="X47" i="2"/>
  <c r="X51" i="2"/>
  <c r="X45" i="2"/>
  <c r="T38" i="2"/>
  <c r="X43" i="2"/>
  <c r="X41" i="2"/>
  <c r="X37" i="2"/>
  <c r="AA34" i="2"/>
  <c r="Z35" i="2"/>
  <c r="Y30" i="2"/>
  <c r="AA27" i="2"/>
  <c r="Z28" i="2"/>
  <c r="AA23" i="2"/>
  <c r="Z24" i="2"/>
  <c r="AC19" i="2"/>
  <c r="AA20" i="2"/>
  <c r="AE19" i="2"/>
  <c r="X19" i="10" l="1"/>
  <c r="X15" i="6"/>
  <c r="X16" i="6" s="1"/>
  <c r="R31" i="6"/>
  <c r="Y10" i="6"/>
  <c r="Y7" i="10" s="1"/>
  <c r="R7" i="8"/>
  <c r="S28" i="6"/>
  <c r="Z9" i="6"/>
  <c r="S15" i="10"/>
  <c r="Z8" i="6"/>
  <c r="X23" i="6"/>
  <c r="X19" i="6"/>
  <c r="X26" i="6"/>
  <c r="X20" i="6"/>
  <c r="X25" i="6"/>
  <c r="T15" i="11"/>
  <c r="X21" i="6"/>
  <c r="X24" i="6"/>
  <c r="X22" i="6"/>
  <c r="S7" i="8"/>
  <c r="J33" i="11"/>
  <c r="J34" i="11" s="1"/>
  <c r="Y29" i="8"/>
  <c r="Z13" i="6"/>
  <c r="Z22" i="8"/>
  <c r="Z25" i="8" s="1"/>
  <c r="R12" i="8"/>
  <c r="H20" i="11"/>
  <c r="H21" i="11" s="1"/>
  <c r="AJ9" i="11"/>
  <c r="AH24" i="8"/>
  <c r="AH10" i="11"/>
  <c r="K16" i="4"/>
  <c r="K23" i="4" s="1"/>
  <c r="J24" i="4"/>
  <c r="J21" i="4"/>
  <c r="D39" i="11"/>
  <c r="D41" i="11" s="1"/>
  <c r="J21" i="3"/>
  <c r="J22" i="3" s="1"/>
  <c r="O19" i="3"/>
  <c r="F66" i="2"/>
  <c r="F33" i="6"/>
  <c r="H64" i="2"/>
  <c r="H66" i="2" s="1"/>
  <c r="X13" i="11"/>
  <c r="K12" i="3"/>
  <c r="J19" i="11"/>
  <c r="X29" i="11"/>
  <c r="T29" i="11"/>
  <c r="V19" i="10"/>
  <c r="E76" i="2"/>
  <c r="E77" i="2" s="1"/>
  <c r="E42" i="6"/>
  <c r="T13" i="11"/>
  <c r="T11" i="10"/>
  <c r="V7" i="10"/>
  <c r="H38" i="6"/>
  <c r="Z12" i="4"/>
  <c r="Z13" i="4"/>
  <c r="Z17" i="4" s="1"/>
  <c r="T27" i="6"/>
  <c r="T15" i="10" s="1"/>
  <c r="S31" i="6"/>
  <c r="AF8" i="4"/>
  <c r="AF9" i="3"/>
  <c r="AC20" i="2"/>
  <c r="AA7" i="6"/>
  <c r="K41" i="1"/>
  <c r="AG9" i="2"/>
  <c r="X58" i="2"/>
  <c r="X59" i="2" s="1"/>
  <c r="T59" i="2"/>
  <c r="Y53" i="2"/>
  <c r="Y55" i="2"/>
  <c r="V61" i="2"/>
  <c r="V62" i="2" s="1"/>
  <c r="AA10" i="3"/>
  <c r="AA13" i="3" s="1"/>
  <c r="AA9" i="4"/>
  <c r="AA11" i="4" s="1"/>
  <c r="V58" i="2"/>
  <c r="V59" i="2" s="1"/>
  <c r="T62" i="2"/>
  <c r="X38" i="2"/>
  <c r="Y49" i="2"/>
  <c r="Y51" i="2"/>
  <c r="Y45" i="2"/>
  <c r="Y47" i="2"/>
  <c r="Y43" i="2"/>
  <c r="Y41" i="2"/>
  <c r="Y37" i="2"/>
  <c r="AC34" i="2"/>
  <c r="AA35" i="2"/>
  <c r="AE34" i="2"/>
  <c r="AC27" i="2"/>
  <c r="AA28" i="2"/>
  <c r="AE27" i="2"/>
  <c r="Z30" i="2"/>
  <c r="AC23" i="2"/>
  <c r="AA24" i="2"/>
  <c r="AE23" i="2"/>
  <c r="AF19" i="2"/>
  <c r="AE20" i="2"/>
  <c r="Y15" i="6" l="1"/>
  <c r="Y16" i="6" s="1"/>
  <c r="Y19" i="10"/>
  <c r="Y29" i="11" s="1"/>
  <c r="Z10" i="6"/>
  <c r="Z15" i="6" s="1"/>
  <c r="Z16" i="6" s="1"/>
  <c r="S27" i="11"/>
  <c r="S12" i="8" s="1"/>
  <c r="K25" i="4"/>
  <c r="AA9" i="6"/>
  <c r="AC9" i="6" s="1"/>
  <c r="X27" i="6"/>
  <c r="X15" i="10" s="1"/>
  <c r="Y20" i="6"/>
  <c r="T14" i="8"/>
  <c r="AE7" i="6"/>
  <c r="Y26" i="6"/>
  <c r="Y19" i="6"/>
  <c r="Y25" i="6"/>
  <c r="Y21" i="6"/>
  <c r="Y24" i="6"/>
  <c r="T16" i="8"/>
  <c r="Y22" i="6"/>
  <c r="Y23" i="6"/>
  <c r="V15" i="10"/>
  <c r="Z29" i="8"/>
  <c r="J31" i="8"/>
  <c r="J32" i="8" s="1"/>
  <c r="E43" i="6"/>
  <c r="E38" i="11" s="1"/>
  <c r="E39" i="11" s="1"/>
  <c r="AJ24" i="8"/>
  <c r="AJ10" i="11"/>
  <c r="K18" i="4"/>
  <c r="J70" i="2"/>
  <c r="AC13" i="3"/>
  <c r="AA22" i="8"/>
  <c r="T15" i="8"/>
  <c r="X15" i="8"/>
  <c r="X14" i="8"/>
  <c r="Y13" i="11"/>
  <c r="V20" i="10"/>
  <c r="V29" i="11"/>
  <c r="H67" i="2"/>
  <c r="H72" i="2"/>
  <c r="H73" i="2" s="1"/>
  <c r="F34" i="6"/>
  <c r="H33" i="6"/>
  <c r="E17" i="10"/>
  <c r="E9" i="8"/>
  <c r="E10" i="8" s="1"/>
  <c r="F67" i="2"/>
  <c r="F72" i="2"/>
  <c r="K14" i="3"/>
  <c r="K15" i="3" s="1"/>
  <c r="K16" i="3" s="1"/>
  <c r="T27" i="11"/>
  <c r="V13" i="11"/>
  <c r="V8" i="10"/>
  <c r="J23" i="3"/>
  <c r="J64" i="2"/>
  <c r="AC11" i="4"/>
  <c r="AA13" i="4"/>
  <c r="AA17" i="4" s="1"/>
  <c r="AA12" i="4"/>
  <c r="AG9" i="3"/>
  <c r="AG8" i="4"/>
  <c r="AC24" i="2"/>
  <c r="AA8" i="6"/>
  <c r="AC8" i="6" s="1"/>
  <c r="K42" i="1"/>
  <c r="AH9" i="2"/>
  <c r="AC35" i="2"/>
  <c r="AA13" i="6"/>
  <c r="AC13" i="6" s="1"/>
  <c r="T28" i="6"/>
  <c r="V27" i="6"/>
  <c r="V28" i="6" s="1"/>
  <c r="T30" i="6"/>
  <c r="AC7" i="6"/>
  <c r="Z53" i="2"/>
  <c r="Z55" i="2"/>
  <c r="Y58" i="2"/>
  <c r="Y61" i="2" s="1"/>
  <c r="AE10" i="3"/>
  <c r="AE13" i="3" s="1"/>
  <c r="AE9" i="4"/>
  <c r="AE11" i="4" s="1"/>
  <c r="AC10" i="3"/>
  <c r="AC9" i="4"/>
  <c r="X61" i="2"/>
  <c r="Y38" i="2"/>
  <c r="Z49" i="2"/>
  <c r="Z45" i="2"/>
  <c r="Z51" i="2"/>
  <c r="Z47" i="2"/>
  <c r="Z43" i="2"/>
  <c r="Z41" i="2"/>
  <c r="Z37" i="2"/>
  <c r="AF34" i="2"/>
  <c r="AE35" i="2"/>
  <c r="AF27" i="2"/>
  <c r="AE28" i="2"/>
  <c r="AA30" i="2"/>
  <c r="AC28" i="2"/>
  <c r="AF23" i="2"/>
  <c r="AE24" i="2"/>
  <c r="AG19" i="2"/>
  <c r="AF20" i="2"/>
  <c r="Z7" i="10" l="1"/>
  <c r="Z19" i="10"/>
  <c r="Z29" i="11" s="1"/>
  <c r="Z9" i="10"/>
  <c r="Z15" i="11" s="1"/>
  <c r="X28" i="6"/>
  <c r="X30" i="6"/>
  <c r="Y14" i="8"/>
  <c r="AE9" i="6"/>
  <c r="Y27" i="6"/>
  <c r="Y15" i="10" s="1"/>
  <c r="AE8" i="6"/>
  <c r="Z19" i="6"/>
  <c r="Z20" i="6"/>
  <c r="V14" i="8"/>
  <c r="Y15" i="8"/>
  <c r="Z22" i="6"/>
  <c r="Z24" i="6"/>
  <c r="Z26" i="6"/>
  <c r="Z21" i="6"/>
  <c r="Z25" i="6"/>
  <c r="Z23" i="6"/>
  <c r="V15" i="8"/>
  <c r="AF7" i="6"/>
  <c r="T7" i="8"/>
  <c r="V7" i="8" s="1"/>
  <c r="E28" i="11"/>
  <c r="T12" i="8"/>
  <c r="H34" i="6"/>
  <c r="H35" i="6" s="1"/>
  <c r="C10" i="15"/>
  <c r="X27" i="11"/>
  <c r="AE13" i="6"/>
  <c r="K30" i="8"/>
  <c r="J38" i="6"/>
  <c r="E44" i="6"/>
  <c r="AE22" i="8"/>
  <c r="AE25" i="8" s="1"/>
  <c r="K19" i="4"/>
  <c r="AA25" i="8"/>
  <c r="AC22" i="8"/>
  <c r="AC17" i="4"/>
  <c r="AA29" i="8"/>
  <c r="V16" i="10"/>
  <c r="V27" i="11"/>
  <c r="F35" i="6"/>
  <c r="F39" i="6"/>
  <c r="F40" i="6" s="1"/>
  <c r="F73" i="2"/>
  <c r="F75" i="2"/>
  <c r="L12" i="3"/>
  <c r="K19" i="11"/>
  <c r="Z13" i="11"/>
  <c r="K19" i="3"/>
  <c r="K21" i="3" s="1"/>
  <c r="K22" i="3" s="1"/>
  <c r="K64" i="2" s="1"/>
  <c r="J20" i="11"/>
  <c r="J21" i="11" s="1"/>
  <c r="J33" i="6"/>
  <c r="J66" i="2"/>
  <c r="AE12" i="4"/>
  <c r="AE13" i="4"/>
  <c r="AE17" i="4" s="1"/>
  <c r="AC13" i="4"/>
  <c r="AC12" i="4"/>
  <c r="AC30" i="2"/>
  <c r="AC37" i="2" s="1"/>
  <c r="AC38" i="2" s="1"/>
  <c r="T31" i="6"/>
  <c r="V30" i="6"/>
  <c r="AC10" i="6"/>
  <c r="AA10" i="6"/>
  <c r="AJ9" i="2"/>
  <c r="AH9" i="3"/>
  <c r="AJ9" i="3" s="1"/>
  <c r="AH8" i="4"/>
  <c r="AJ8" i="4" s="1"/>
  <c r="Z58" i="2"/>
  <c r="Z59" i="2" s="1"/>
  <c r="AA53" i="2"/>
  <c r="AA55" i="2"/>
  <c r="Y62" i="2"/>
  <c r="X62" i="2"/>
  <c r="AF9" i="4"/>
  <c r="AF11" i="4" s="1"/>
  <c r="AF10" i="3"/>
  <c r="AF13" i="3" s="1"/>
  <c r="Y59" i="2"/>
  <c r="Z38" i="2"/>
  <c r="AA49" i="2"/>
  <c r="AA51" i="2"/>
  <c r="AA47" i="2"/>
  <c r="AA45" i="2"/>
  <c r="AA43" i="2"/>
  <c r="AA41" i="2"/>
  <c r="AA37" i="2"/>
  <c r="AG34" i="2"/>
  <c r="AF35" i="2"/>
  <c r="AE30" i="2"/>
  <c r="AG27" i="2"/>
  <c r="AF28" i="2"/>
  <c r="AG23" i="2"/>
  <c r="AF24" i="2"/>
  <c r="AH19" i="2"/>
  <c r="AG20" i="2"/>
  <c r="Z11" i="10" l="1"/>
  <c r="X7" i="8"/>
  <c r="AE10" i="6"/>
  <c r="AE15" i="6" s="1"/>
  <c r="AE16" i="6" s="1"/>
  <c r="X31" i="6"/>
  <c r="Y28" i="6"/>
  <c r="Y27" i="11"/>
  <c r="Y12" i="8" s="1"/>
  <c r="Y30" i="6"/>
  <c r="E13" i="8"/>
  <c r="E17" i="8" s="1"/>
  <c r="E19" i="8" s="1"/>
  <c r="E34" i="8" s="1"/>
  <c r="E30" i="11"/>
  <c r="E41" i="11" s="1"/>
  <c r="Z27" i="6"/>
  <c r="Z15" i="10" s="1"/>
  <c r="AF9" i="6"/>
  <c r="AF8" i="6"/>
  <c r="AC15" i="6"/>
  <c r="AC16" i="6" s="1"/>
  <c r="AG7" i="6"/>
  <c r="X12" i="8"/>
  <c r="Z14" i="8"/>
  <c r="AA24" i="6"/>
  <c r="AC24" i="6" s="1"/>
  <c r="K33" i="11"/>
  <c r="K34" i="11" s="1"/>
  <c r="AF22" i="8"/>
  <c r="AF25" i="8" s="1"/>
  <c r="C14" i="15"/>
  <c r="AF13" i="6"/>
  <c r="AC25" i="8"/>
  <c r="F16" i="15"/>
  <c r="V12" i="8"/>
  <c r="AE29" i="8"/>
  <c r="H39" i="6"/>
  <c r="H40" i="6" s="1"/>
  <c r="L16" i="4"/>
  <c r="L25" i="4" s="1"/>
  <c r="K24" i="4"/>
  <c r="K21" i="4"/>
  <c r="AC29" i="8"/>
  <c r="Z15" i="8"/>
  <c r="K66" i="2"/>
  <c r="K67" i="2" s="1"/>
  <c r="K23" i="3"/>
  <c r="J34" i="6"/>
  <c r="H75" i="2"/>
  <c r="H76" i="2" s="1"/>
  <c r="H77" i="2" s="1"/>
  <c r="F42" i="6"/>
  <c r="J67" i="2"/>
  <c r="J72" i="2"/>
  <c r="K33" i="6"/>
  <c r="K34" i="6" s="1"/>
  <c r="K35" i="6" s="1"/>
  <c r="AA15" i="6"/>
  <c r="AA16" i="6" s="1"/>
  <c r="AA7" i="10"/>
  <c r="AA19" i="10"/>
  <c r="AA9" i="10"/>
  <c r="L14" i="3"/>
  <c r="L15" i="3" s="1"/>
  <c r="L16" i="3" s="1"/>
  <c r="F76" i="2"/>
  <c r="F77" i="2" s="1"/>
  <c r="AF13" i="4"/>
  <c r="AF17" i="4" s="1"/>
  <c r="AF12" i="4"/>
  <c r="AC41" i="2"/>
  <c r="AC42" i="2" s="1"/>
  <c r="AA19" i="6"/>
  <c r="AC43" i="2"/>
  <c r="AC44" i="2" s="1"/>
  <c r="AA20" i="6"/>
  <c r="AC20" i="6" s="1"/>
  <c r="V31" i="6"/>
  <c r="AC49" i="2"/>
  <c r="AC50" i="2" s="1"/>
  <c r="AA23" i="6"/>
  <c r="AC23" i="6" s="1"/>
  <c r="AC53" i="2"/>
  <c r="AC54" i="2" s="1"/>
  <c r="AA25" i="6"/>
  <c r="AC25" i="6" s="1"/>
  <c r="AC45" i="2"/>
  <c r="AC46" i="2" s="1"/>
  <c r="AA21" i="6"/>
  <c r="AC21" i="6" s="1"/>
  <c r="AC47" i="2"/>
  <c r="AC48" i="2" s="1"/>
  <c r="AA22" i="6"/>
  <c r="AC22" i="6" s="1"/>
  <c r="Z61" i="2"/>
  <c r="Z62" i="2" s="1"/>
  <c r="AC55" i="2"/>
  <c r="AC56" i="2" s="1"/>
  <c r="AA26" i="6"/>
  <c r="AC26" i="6" s="1"/>
  <c r="AE53" i="2"/>
  <c r="AE55" i="2"/>
  <c r="AA58" i="2"/>
  <c r="AA61" i="2" s="1"/>
  <c r="AG9" i="4"/>
  <c r="AG11" i="4" s="1"/>
  <c r="AG10" i="3"/>
  <c r="AG13" i="3" s="1"/>
  <c r="AC51" i="2"/>
  <c r="AC52" i="2" s="1"/>
  <c r="AA38" i="2"/>
  <c r="AE51" i="2"/>
  <c r="AE45" i="2"/>
  <c r="AE47" i="2"/>
  <c r="AE49" i="2"/>
  <c r="AE43" i="2"/>
  <c r="AE41" i="2"/>
  <c r="AE37" i="2"/>
  <c r="AH34" i="2"/>
  <c r="AG35" i="2"/>
  <c r="AF30" i="2"/>
  <c r="AH27" i="2"/>
  <c r="AG28" i="2"/>
  <c r="AH23" i="2"/>
  <c r="AG24" i="2"/>
  <c r="AJ19" i="2"/>
  <c r="AH20" i="2"/>
  <c r="AE7" i="10" l="1"/>
  <c r="AE13" i="11" s="1"/>
  <c r="AE19" i="10"/>
  <c r="AE29" i="11" s="1"/>
  <c r="AF10" i="6"/>
  <c r="AF19" i="10" s="1"/>
  <c r="AF29" i="11" s="1"/>
  <c r="Y7" i="8"/>
  <c r="Y31" i="6"/>
  <c r="Z30" i="6"/>
  <c r="Z7" i="8" s="1"/>
  <c r="Z28" i="6"/>
  <c r="AG9" i="6"/>
  <c r="AG8" i="6"/>
  <c r="AE21" i="6"/>
  <c r="AE24" i="6"/>
  <c r="AA15" i="11"/>
  <c r="AE19" i="6"/>
  <c r="AE20" i="6"/>
  <c r="AE26" i="6"/>
  <c r="AE23" i="6"/>
  <c r="AE25" i="6"/>
  <c r="AE22" i="6"/>
  <c r="AF29" i="8"/>
  <c r="Z27" i="11"/>
  <c r="AG22" i="8"/>
  <c r="AG25" i="8" s="1"/>
  <c r="K70" i="2"/>
  <c r="K72" i="2" s="1"/>
  <c r="K73" i="2" s="1"/>
  <c r="AG13" i="6"/>
  <c r="F43" i="6"/>
  <c r="K31" i="8"/>
  <c r="K32" i="8" s="1"/>
  <c r="L23" i="4"/>
  <c r="L18" i="4"/>
  <c r="J35" i="6"/>
  <c r="J39" i="6"/>
  <c r="J40" i="6" s="1"/>
  <c r="H42" i="6"/>
  <c r="F17" i="10"/>
  <c r="F9" i="8"/>
  <c r="L19" i="3"/>
  <c r="L21" i="3" s="1"/>
  <c r="L22" i="3" s="1"/>
  <c r="K20" i="11"/>
  <c r="K21" i="11" s="1"/>
  <c r="M12" i="3"/>
  <c r="L19" i="11"/>
  <c r="AA29" i="11"/>
  <c r="AC19" i="10"/>
  <c r="J75" i="2"/>
  <c r="J73" i="2"/>
  <c r="AA11" i="10"/>
  <c r="AA13" i="11"/>
  <c r="AC7" i="10"/>
  <c r="AG13" i="4"/>
  <c r="AG17" i="4" s="1"/>
  <c r="AG12" i="4"/>
  <c r="AJ20" i="2"/>
  <c r="AH7" i="6"/>
  <c r="AA27" i="6"/>
  <c r="AA15" i="10" s="1"/>
  <c r="AC19" i="6"/>
  <c r="AF53" i="2"/>
  <c r="AF55" i="2"/>
  <c r="AE58" i="2"/>
  <c r="AE61" i="2" s="1"/>
  <c r="AC61" i="2"/>
  <c r="AH10" i="3"/>
  <c r="AH13" i="3" s="1"/>
  <c r="AH9" i="4"/>
  <c r="AH11" i="4" s="1"/>
  <c r="AC58" i="2"/>
  <c r="AC59" i="2" s="1"/>
  <c r="AA59" i="2"/>
  <c r="AE38" i="2"/>
  <c r="AF51" i="2"/>
  <c r="AF45" i="2"/>
  <c r="AF47" i="2"/>
  <c r="AF49" i="2"/>
  <c r="AF43" i="2"/>
  <c r="AF41" i="2"/>
  <c r="AF37" i="2"/>
  <c r="AJ34" i="2"/>
  <c r="AH35" i="2"/>
  <c r="AG30" i="2"/>
  <c r="AJ27" i="2"/>
  <c r="AH28" i="2"/>
  <c r="AJ23" i="2"/>
  <c r="AH24" i="2"/>
  <c r="AF7" i="10" l="1"/>
  <c r="AF13" i="11" s="1"/>
  <c r="AG10" i="6"/>
  <c r="AG15" i="6" s="1"/>
  <c r="AG16" i="6" s="1"/>
  <c r="AF15" i="6"/>
  <c r="AF16" i="6" s="1"/>
  <c r="Z31" i="6"/>
  <c r="F38" i="11"/>
  <c r="F39" i="11" s="1"/>
  <c r="F44" i="6"/>
  <c r="AH9" i="6"/>
  <c r="AJ9" i="6" s="1"/>
  <c r="AE27" i="6"/>
  <c r="AE30" i="6" s="1"/>
  <c r="AA14" i="8"/>
  <c r="AA16" i="8"/>
  <c r="AF20" i="6"/>
  <c r="AF23" i="6"/>
  <c r="AF19" i="6"/>
  <c r="AF26" i="6"/>
  <c r="AF25" i="6"/>
  <c r="AF22" i="6"/>
  <c r="AF21" i="6"/>
  <c r="AF24" i="6"/>
  <c r="K38" i="6"/>
  <c r="K39" i="6" s="1"/>
  <c r="K40" i="6" s="1"/>
  <c r="H17" i="10"/>
  <c r="Z12" i="8"/>
  <c r="AG29" i="8"/>
  <c r="AC15" i="10"/>
  <c r="H43" i="6"/>
  <c r="C11" i="15"/>
  <c r="C12" i="15" s="1"/>
  <c r="L19" i="4"/>
  <c r="L33" i="11" s="1"/>
  <c r="L34" i="11" s="1"/>
  <c r="L30" i="8"/>
  <c r="K75" i="2"/>
  <c r="AJ13" i="3"/>
  <c r="AH22" i="8"/>
  <c r="AE14" i="8"/>
  <c r="AA15" i="8"/>
  <c r="AE15" i="8"/>
  <c r="AF14" i="8"/>
  <c r="F10" i="8"/>
  <c r="H9" i="8"/>
  <c r="H10" i="8" s="1"/>
  <c r="J76" i="2"/>
  <c r="J77" i="2" s="1"/>
  <c r="J42" i="6"/>
  <c r="AC20" i="10"/>
  <c r="AC29" i="11"/>
  <c r="M14" i="3"/>
  <c r="M15" i="3" s="1"/>
  <c r="AC13" i="11"/>
  <c r="AC8" i="10"/>
  <c r="AA27" i="11"/>
  <c r="F28" i="11"/>
  <c r="L23" i="3"/>
  <c r="L64" i="2"/>
  <c r="AJ11" i="4"/>
  <c r="AH13" i="4"/>
  <c r="AH17" i="4" s="1"/>
  <c r="AH12" i="4"/>
  <c r="AJ35" i="2"/>
  <c r="AH13" i="6"/>
  <c r="AJ13" i="6" s="1"/>
  <c r="AJ7" i="6"/>
  <c r="AA28" i="6"/>
  <c r="AA30" i="6"/>
  <c r="AC27" i="6"/>
  <c r="AC28" i="6" s="1"/>
  <c r="AJ24" i="2"/>
  <c r="AH8" i="6"/>
  <c r="AJ8" i="6" s="1"/>
  <c r="AF58" i="2"/>
  <c r="AF61" i="2" s="1"/>
  <c r="AG53" i="2"/>
  <c r="AG55" i="2"/>
  <c r="AJ9" i="4"/>
  <c r="AJ10" i="3"/>
  <c r="AE59" i="2"/>
  <c r="AE62" i="2"/>
  <c r="AA62" i="2"/>
  <c r="AC62" i="2"/>
  <c r="AG51" i="2"/>
  <c r="AG45" i="2"/>
  <c r="AG49" i="2"/>
  <c r="AG47" i="2"/>
  <c r="AF38" i="2"/>
  <c r="AG43" i="2"/>
  <c r="AG41" i="2"/>
  <c r="AG37" i="2"/>
  <c r="AH30" i="2"/>
  <c r="AJ28" i="2"/>
  <c r="AG7" i="10" l="1"/>
  <c r="AG19" i="10"/>
  <c r="AG29" i="11" s="1"/>
  <c r="AG9" i="10"/>
  <c r="AG15" i="11" s="1"/>
  <c r="AE28" i="6"/>
  <c r="AE15" i="10"/>
  <c r="AE27" i="11" s="1"/>
  <c r="L21" i="4"/>
  <c r="M16" i="4"/>
  <c r="M23" i="4" s="1"/>
  <c r="O23" i="4" s="1"/>
  <c r="AF15" i="8"/>
  <c r="AF27" i="6"/>
  <c r="AF15" i="10" s="1"/>
  <c r="AG26" i="6"/>
  <c r="AG25" i="6"/>
  <c r="AC15" i="8"/>
  <c r="AC14" i="8"/>
  <c r="AG20" i="6"/>
  <c r="AG22" i="6"/>
  <c r="AG23" i="6"/>
  <c r="AG21" i="6"/>
  <c r="AG24" i="6"/>
  <c r="AG19" i="6"/>
  <c r="H38" i="11"/>
  <c r="H39" i="11" s="1"/>
  <c r="AE7" i="8"/>
  <c r="H44" i="6"/>
  <c r="AA7" i="8"/>
  <c r="AC7" i="8" s="1"/>
  <c r="K42" i="6"/>
  <c r="AA12" i="8"/>
  <c r="L24" i="4"/>
  <c r="K76" i="2"/>
  <c r="K77" i="2" s="1"/>
  <c r="AJ17" i="4"/>
  <c r="AH29" i="8"/>
  <c r="AH25" i="8"/>
  <c r="AJ22" i="8"/>
  <c r="F30" i="11"/>
  <c r="F41" i="11" s="1"/>
  <c r="F13" i="8"/>
  <c r="F17" i="8" s="1"/>
  <c r="F19" i="8" s="1"/>
  <c r="F34" i="8" s="1"/>
  <c r="J43" i="6"/>
  <c r="J9" i="8"/>
  <c r="J10" i="8" s="1"/>
  <c r="J17" i="10"/>
  <c r="AG13" i="11"/>
  <c r="L66" i="2"/>
  <c r="L67" i="2" s="1"/>
  <c r="L33" i="6"/>
  <c r="M19" i="3"/>
  <c r="M21" i="3" s="1"/>
  <c r="M22" i="3" s="1"/>
  <c r="M64" i="2" s="1"/>
  <c r="L20" i="11"/>
  <c r="L21" i="11" s="1"/>
  <c r="O15" i="3"/>
  <c r="O16" i="3" s="1"/>
  <c r="H28" i="11"/>
  <c r="H18" i="10"/>
  <c r="AC16" i="10"/>
  <c r="AC27" i="11"/>
  <c r="M16" i="3"/>
  <c r="AJ12" i="4"/>
  <c r="AJ13" i="4"/>
  <c r="AA31" i="6"/>
  <c r="AC30" i="6"/>
  <c r="AJ30" i="2"/>
  <c r="AJ37" i="2" s="1"/>
  <c r="AJ38" i="2" s="1"/>
  <c r="AE31" i="6"/>
  <c r="AH10" i="6"/>
  <c r="AJ10" i="6"/>
  <c r="AG58" i="2"/>
  <c r="AG61" i="2" s="1"/>
  <c r="AH53" i="2"/>
  <c r="AH55" i="2"/>
  <c r="AF59" i="2"/>
  <c r="AF62" i="2"/>
  <c r="AH51" i="2"/>
  <c r="AH45" i="2"/>
  <c r="AH47" i="2"/>
  <c r="AH49" i="2"/>
  <c r="AG38" i="2"/>
  <c r="AH43" i="2"/>
  <c r="AH41" i="2"/>
  <c r="AH37" i="2"/>
  <c r="AG11" i="10" l="1"/>
  <c r="L70" i="2"/>
  <c r="L72" i="2" s="1"/>
  <c r="L73" i="2" s="1"/>
  <c r="AF28" i="6"/>
  <c r="K9" i="8"/>
  <c r="K10" i="8" s="1"/>
  <c r="AF27" i="11"/>
  <c r="AF12" i="8" s="1"/>
  <c r="K17" i="10"/>
  <c r="L31" i="8"/>
  <c r="L32" i="8" s="1"/>
  <c r="AF30" i="6"/>
  <c r="AF31" i="6" s="1"/>
  <c r="M18" i="4"/>
  <c r="M25" i="4"/>
  <c r="O25" i="4" s="1"/>
  <c r="K43" i="6"/>
  <c r="K44" i="6" s="1"/>
  <c r="AG27" i="6"/>
  <c r="AG28" i="6" s="1"/>
  <c r="AJ15" i="6"/>
  <c r="AJ16" i="6" s="1"/>
  <c r="AE12" i="8"/>
  <c r="AG14" i="8"/>
  <c r="AH22" i="6"/>
  <c r="AJ22" i="6" s="1"/>
  <c r="AH20" i="6"/>
  <c r="AJ20" i="6" s="1"/>
  <c r="AH25" i="6"/>
  <c r="AJ25" i="6" s="1"/>
  <c r="AC12" i="8"/>
  <c r="AJ25" i="8"/>
  <c r="G16" i="15"/>
  <c r="H13" i="8"/>
  <c r="O19" i="11"/>
  <c r="J28" i="11"/>
  <c r="AJ29" i="8"/>
  <c r="J44" i="6"/>
  <c r="J38" i="11"/>
  <c r="AG15" i="8"/>
  <c r="M66" i="2"/>
  <c r="M33" i="6"/>
  <c r="M34" i="6" s="1"/>
  <c r="M35" i="6" s="1"/>
  <c r="O64" i="2"/>
  <c r="O66" i="2" s="1"/>
  <c r="O67" i="2" s="1"/>
  <c r="L34" i="6"/>
  <c r="L35" i="6" s="1"/>
  <c r="M23" i="3"/>
  <c r="O22" i="3"/>
  <c r="O23" i="3" s="1"/>
  <c r="AH15" i="6"/>
  <c r="AH16" i="6" s="1"/>
  <c r="AH19" i="10"/>
  <c r="AH9" i="10"/>
  <c r="AH7" i="10"/>
  <c r="Q12" i="3"/>
  <c r="M19" i="11"/>
  <c r="AJ53" i="2"/>
  <c r="AJ54" i="2" s="1"/>
  <c r="AJ47" i="2"/>
  <c r="AJ48" i="2" s="1"/>
  <c r="AJ41" i="2"/>
  <c r="AJ42" i="2" s="1"/>
  <c r="AH19" i="6"/>
  <c r="AC31" i="6"/>
  <c r="AJ49" i="2"/>
  <c r="AJ50" i="2" s="1"/>
  <c r="AH23" i="6"/>
  <c r="AJ23" i="6" s="1"/>
  <c r="AJ55" i="2"/>
  <c r="AJ56" i="2" s="1"/>
  <c r="AH26" i="6"/>
  <c r="AJ26" i="6" s="1"/>
  <c r="AJ45" i="2"/>
  <c r="AJ46" i="2" s="1"/>
  <c r="AH21" i="6"/>
  <c r="AJ21" i="6" s="1"/>
  <c r="AJ51" i="2"/>
  <c r="AJ52" i="2" s="1"/>
  <c r="AH24" i="6"/>
  <c r="AJ24" i="6" s="1"/>
  <c r="AH58" i="2"/>
  <c r="AJ58" i="2" s="1"/>
  <c r="AJ59" i="2" s="1"/>
  <c r="AG59" i="2"/>
  <c r="AG62" i="2"/>
  <c r="AJ43" i="2"/>
  <c r="AJ44" i="2" s="1"/>
  <c r="AH38" i="2"/>
  <c r="O18" i="4" l="1"/>
  <c r="O19" i="4" s="1"/>
  <c r="J30" i="11"/>
  <c r="L38" i="6"/>
  <c r="L39" i="6" s="1"/>
  <c r="L40" i="6" s="1"/>
  <c r="K28" i="11"/>
  <c r="AF7" i="8"/>
  <c r="J13" i="8"/>
  <c r="AG15" i="10"/>
  <c r="AG27" i="11" s="1"/>
  <c r="AG30" i="6"/>
  <c r="AG7" i="8" s="1"/>
  <c r="M30" i="8"/>
  <c r="O30" i="8" s="1"/>
  <c r="M19" i="4"/>
  <c r="AH15" i="11"/>
  <c r="O20" i="11"/>
  <c r="O21" i="11" s="1"/>
  <c r="O33" i="11"/>
  <c r="O34" i="11" s="1"/>
  <c r="K38" i="11"/>
  <c r="J39" i="11"/>
  <c r="O33" i="6"/>
  <c r="L75" i="2"/>
  <c r="Q19" i="3"/>
  <c r="M20" i="11"/>
  <c r="M21" i="11" s="1"/>
  <c r="Q14" i="3"/>
  <c r="Q15" i="3" s="1"/>
  <c r="Q16" i="3" s="1"/>
  <c r="V12" i="3"/>
  <c r="AH13" i="11"/>
  <c r="AH11" i="10"/>
  <c r="AJ7" i="10"/>
  <c r="AH29" i="11"/>
  <c r="AJ19" i="10"/>
  <c r="M67" i="2"/>
  <c r="AH27" i="6"/>
  <c r="AH15" i="10" s="1"/>
  <c r="AJ19" i="6"/>
  <c r="AH61" i="2"/>
  <c r="AH59" i="2"/>
  <c r="J41" i="11" l="1"/>
  <c r="K30" i="11"/>
  <c r="K13" i="8"/>
  <c r="AG31" i="6"/>
  <c r="Q16" i="4"/>
  <c r="Q23" i="4" s="1"/>
  <c r="M21" i="4"/>
  <c r="M33" i="11"/>
  <c r="M34" i="11" s="1"/>
  <c r="M24" i="4"/>
  <c r="O24" i="4" s="1"/>
  <c r="AH16" i="8"/>
  <c r="AH14" i="8"/>
  <c r="L76" i="2"/>
  <c r="L77" i="2" s="1"/>
  <c r="O34" i="6"/>
  <c r="O35" i="6" s="1"/>
  <c r="D10" i="15"/>
  <c r="AG12" i="8"/>
  <c r="AJ15" i="10"/>
  <c r="K39" i="11"/>
  <c r="AH15" i="8"/>
  <c r="L42" i="6"/>
  <c r="AH27" i="11"/>
  <c r="AJ13" i="11"/>
  <c r="AJ8" i="10"/>
  <c r="R12" i="3"/>
  <c r="Q19" i="11"/>
  <c r="Q21" i="3"/>
  <c r="Q22" i="3" s="1"/>
  <c r="Q23" i="3" s="1"/>
  <c r="V19" i="3"/>
  <c r="AJ20" i="10"/>
  <c r="AJ29" i="11"/>
  <c r="AH28" i="6"/>
  <c r="AJ27" i="6"/>
  <c r="AJ28" i="6" s="1"/>
  <c r="AH30" i="6"/>
  <c r="AJ61" i="2"/>
  <c r="AJ62" i="2" s="1"/>
  <c r="AH62" i="2"/>
  <c r="K41" i="11" l="1"/>
  <c r="O21" i="4"/>
  <c r="V16" i="4"/>
  <c r="Q25" i="4"/>
  <c r="Q18" i="4"/>
  <c r="M31" i="8"/>
  <c r="O31" i="8" s="1"/>
  <c r="O32" i="8" s="1"/>
  <c r="M70" i="2"/>
  <c r="AJ15" i="8"/>
  <c r="AJ14" i="8"/>
  <c r="AH12" i="8"/>
  <c r="AH7" i="8"/>
  <c r="AJ7" i="8" s="1"/>
  <c r="L43" i="6"/>
  <c r="L38" i="11" s="1"/>
  <c r="L39" i="11" s="1"/>
  <c r="D14" i="15"/>
  <c r="L9" i="8"/>
  <c r="L10" i="8" s="1"/>
  <c r="L17" i="10"/>
  <c r="R19" i="3"/>
  <c r="R21" i="3" s="1"/>
  <c r="R22" i="3" s="1"/>
  <c r="R23" i="3" s="1"/>
  <c r="Q20" i="11"/>
  <c r="Q21" i="11" s="1"/>
  <c r="R14" i="3"/>
  <c r="R15" i="3" s="1"/>
  <c r="R16" i="3" s="1"/>
  <c r="Q64" i="2"/>
  <c r="AJ16" i="10"/>
  <c r="AJ27" i="11"/>
  <c r="AH31" i="6"/>
  <c r="AJ30" i="6"/>
  <c r="M72" i="2" l="1"/>
  <c r="M73" i="2" s="1"/>
  <c r="O70" i="2"/>
  <c r="O72" i="2" s="1"/>
  <c r="O73" i="2" s="1"/>
  <c r="M32" i="8"/>
  <c r="M38" i="6"/>
  <c r="O38" i="6" s="1"/>
  <c r="O39" i="6" s="1"/>
  <c r="O40" i="6" s="1"/>
  <c r="Q30" i="8"/>
  <c r="Q19" i="4"/>
  <c r="AJ12" i="8"/>
  <c r="L44" i="6"/>
  <c r="L28" i="11"/>
  <c r="Q66" i="2"/>
  <c r="Q33" i="6"/>
  <c r="S12" i="3"/>
  <c r="R19" i="11"/>
  <c r="R64" i="2"/>
  <c r="S19" i="3"/>
  <c r="R20" i="11"/>
  <c r="AJ31" i="6"/>
  <c r="M75" i="2" l="1"/>
  <c r="R16" i="4"/>
  <c r="R25" i="4" s="1"/>
  <c r="Q33" i="11"/>
  <c r="Q34" i="11" s="1"/>
  <c r="M39" i="6"/>
  <c r="M40" i="6" s="1"/>
  <c r="Q24" i="4"/>
  <c r="Q21" i="4"/>
  <c r="L13" i="8"/>
  <c r="L30" i="11"/>
  <c r="L41" i="11" s="1"/>
  <c r="M42" i="6"/>
  <c r="M76" i="2"/>
  <c r="M77" i="2" s="1"/>
  <c r="O75" i="2"/>
  <c r="O76" i="2" s="1"/>
  <c r="O77" i="2" s="1"/>
  <c r="R23" i="4"/>
  <c r="R18" i="4"/>
  <c r="R21" i="11"/>
  <c r="R66" i="2"/>
  <c r="R33" i="6"/>
  <c r="R34" i="6" s="1"/>
  <c r="S14" i="3"/>
  <c r="S15" i="3" s="1"/>
  <c r="S16" i="3" s="1"/>
  <c r="S21" i="3"/>
  <c r="S22" i="3" s="1"/>
  <c r="S23" i="3" s="1"/>
  <c r="Q34" i="6"/>
  <c r="Q67" i="2"/>
  <c r="Q31" i="8" l="1"/>
  <c r="Q70" i="2"/>
  <c r="Q72" i="2" s="1"/>
  <c r="Q75" i="2" s="1"/>
  <c r="R30" i="8"/>
  <c r="M43" i="6"/>
  <c r="R19" i="4"/>
  <c r="Q32" i="8"/>
  <c r="M9" i="8"/>
  <c r="M17" i="10"/>
  <c r="O42" i="6"/>
  <c r="T19" i="3"/>
  <c r="S20" i="11"/>
  <c r="T12" i="3"/>
  <c r="T14" i="3" s="1"/>
  <c r="T15" i="3" s="1"/>
  <c r="V15" i="3" s="1"/>
  <c r="V16" i="3" s="1"/>
  <c r="S19" i="11"/>
  <c r="S64" i="2"/>
  <c r="R35" i="6"/>
  <c r="Q35" i="6"/>
  <c r="R67" i="2"/>
  <c r="Q38" i="6" l="1"/>
  <c r="Q39" i="6" s="1"/>
  <c r="Q40" i="6" s="1"/>
  <c r="V19" i="11"/>
  <c r="M44" i="6"/>
  <c r="M38" i="11"/>
  <c r="M39" i="11" s="1"/>
  <c r="O43" i="6"/>
  <c r="D11" i="15"/>
  <c r="D12" i="15" s="1"/>
  <c r="O17" i="10"/>
  <c r="Q73" i="2"/>
  <c r="M28" i="11"/>
  <c r="O9" i="8"/>
  <c r="O10" i="8" s="1"/>
  <c r="M10" i="8"/>
  <c r="R33" i="11"/>
  <c r="R34" i="11" s="1"/>
  <c r="R24" i="4"/>
  <c r="S16" i="4"/>
  <c r="R21" i="4"/>
  <c r="Q76" i="2"/>
  <c r="Q77" i="2" s="1"/>
  <c r="Q42" i="6"/>
  <c r="S66" i="2"/>
  <c r="S33" i="6"/>
  <c r="T16" i="3"/>
  <c r="S21" i="11"/>
  <c r="T21" i="3"/>
  <c r="T22" i="3" s="1"/>
  <c r="V22" i="3" s="1"/>
  <c r="V23" i="3" s="1"/>
  <c r="V20" i="11" l="1"/>
  <c r="V21" i="11" s="1"/>
  <c r="O38" i="11"/>
  <c r="O39" i="11" s="1"/>
  <c r="Q43" i="6"/>
  <c r="O44" i="6"/>
  <c r="R70" i="2"/>
  <c r="R31" i="8"/>
  <c r="S23" i="4"/>
  <c r="S25" i="4"/>
  <c r="S18" i="4"/>
  <c r="M30" i="11"/>
  <c r="M41" i="11" s="1"/>
  <c r="M13" i="8"/>
  <c r="M17" i="8" s="1"/>
  <c r="M19" i="8" s="1"/>
  <c r="M34" i="8" s="1"/>
  <c r="O18" i="10"/>
  <c r="O28" i="11"/>
  <c r="T23" i="3"/>
  <c r="T64" i="2"/>
  <c r="X12" i="3"/>
  <c r="T19" i="11"/>
  <c r="S67" i="2"/>
  <c r="S34" i="6"/>
  <c r="Q17" i="10"/>
  <c r="Q9" i="8"/>
  <c r="Q10" i="8" s="1"/>
  <c r="Q38" i="11" l="1"/>
  <c r="Q39" i="11" s="1"/>
  <c r="Q44" i="6"/>
  <c r="Q28" i="11"/>
  <c r="S19" i="4"/>
  <c r="V64" i="2"/>
  <c r="V66" i="2" s="1"/>
  <c r="V67" i="2" s="1"/>
  <c r="X19" i="3"/>
  <c r="AC19" i="3" s="1"/>
  <c r="R38" i="6"/>
  <c r="R39" i="6" s="1"/>
  <c r="R72" i="2"/>
  <c r="T20" i="11"/>
  <c r="T21" i="11" s="1"/>
  <c r="O13" i="8"/>
  <c r="O30" i="11"/>
  <c r="O41" i="11" s="1"/>
  <c r="S30" i="8"/>
  <c r="R32" i="8"/>
  <c r="T66" i="2"/>
  <c r="T67" i="2" s="1"/>
  <c r="T33" i="6"/>
  <c r="S35" i="6"/>
  <c r="AC12" i="3"/>
  <c r="X14" i="3"/>
  <c r="X15" i="3" s="1"/>
  <c r="X16" i="3" s="1"/>
  <c r="X21" i="3" l="1"/>
  <c r="X22" i="3" s="1"/>
  <c r="X23" i="3" s="1"/>
  <c r="X20" i="11" s="1"/>
  <c r="Q13" i="8"/>
  <c r="Q30" i="11"/>
  <c r="Q41" i="11" s="1"/>
  <c r="R75" i="2"/>
  <c r="R73" i="2"/>
  <c r="S33" i="11"/>
  <c r="S34" i="11" s="1"/>
  <c r="T16" i="4"/>
  <c r="S21" i="4"/>
  <c r="S24" i="4"/>
  <c r="R40" i="6"/>
  <c r="T34" i="6"/>
  <c r="T35" i="6" s="1"/>
  <c r="V33" i="6"/>
  <c r="Y12" i="3"/>
  <c r="X19" i="11"/>
  <c r="X64" i="2" l="1"/>
  <c r="Y19" i="3"/>
  <c r="Y21" i="3" s="1"/>
  <c r="Y22" i="3" s="1"/>
  <c r="Y23" i="3" s="1"/>
  <c r="V34" i="6"/>
  <c r="V35" i="6" s="1"/>
  <c r="E10" i="15"/>
  <c r="R42" i="6"/>
  <c r="R17" i="10" s="1"/>
  <c r="X21" i="11"/>
  <c r="S31" i="8"/>
  <c r="S70" i="2"/>
  <c r="T25" i="4"/>
  <c r="V25" i="4" s="1"/>
  <c r="T23" i="4"/>
  <c r="V23" i="4" s="1"/>
  <c r="T18" i="4"/>
  <c r="R76" i="2"/>
  <c r="R77" i="2" s="1"/>
  <c r="X66" i="2"/>
  <c r="X67" i="2" s="1"/>
  <c r="X33" i="6"/>
  <c r="Y14" i="3"/>
  <c r="Y15" i="3" s="1"/>
  <c r="Y16" i="3" s="1"/>
  <c r="R9" i="8" l="1"/>
  <c r="R10" i="8" s="1"/>
  <c r="R28" i="11"/>
  <c r="E14" i="15"/>
  <c r="T19" i="4"/>
  <c r="R43" i="6"/>
  <c r="V18" i="4"/>
  <c r="T30" i="8"/>
  <c r="S38" i="6"/>
  <c r="S72" i="2"/>
  <c r="S32" i="8"/>
  <c r="X34" i="6"/>
  <c r="X35" i="6" s="1"/>
  <c r="Z12" i="3"/>
  <c r="Y19" i="11"/>
  <c r="Y64" i="2"/>
  <c r="Z19" i="3"/>
  <c r="Z21" i="3" s="1"/>
  <c r="Z22" i="3" s="1"/>
  <c r="Z23" i="3" s="1"/>
  <c r="Y20" i="11"/>
  <c r="T24" i="4" l="1"/>
  <c r="V24" i="4" s="1"/>
  <c r="T21" i="4"/>
  <c r="X16" i="4"/>
  <c r="X23" i="4" s="1"/>
  <c r="T33" i="11"/>
  <c r="T34" i="11" s="1"/>
  <c r="R13" i="8"/>
  <c r="R30" i="11"/>
  <c r="R44" i="6"/>
  <c r="R38" i="11"/>
  <c r="R39" i="11" s="1"/>
  <c r="V19" i="4"/>
  <c r="S73" i="2"/>
  <c r="S75" i="2"/>
  <c r="S39" i="6"/>
  <c r="S40" i="6" s="1"/>
  <c r="V30" i="8"/>
  <c r="Y21" i="11"/>
  <c r="AA19" i="3"/>
  <c r="Z20" i="11"/>
  <c r="Y66" i="2"/>
  <c r="Y67" i="2" s="1"/>
  <c r="Y33" i="6"/>
  <c r="Z14" i="3"/>
  <c r="Z15" i="3" s="1"/>
  <c r="V21" i="4" l="1"/>
  <c r="AC16" i="4"/>
  <c r="X18" i="4"/>
  <c r="T70" i="2"/>
  <c r="T31" i="8"/>
  <c r="V31" i="8" s="1"/>
  <c r="V32" i="8" s="1"/>
  <c r="X25" i="4"/>
  <c r="V33" i="11"/>
  <c r="V34" i="11" s="1"/>
  <c r="R41" i="11"/>
  <c r="S76" i="2"/>
  <c r="S77" i="2" s="1"/>
  <c r="S42" i="6"/>
  <c r="Z64" i="2"/>
  <c r="Z16" i="3"/>
  <c r="Y34" i="6"/>
  <c r="Y35" i="6" s="1"/>
  <c r="AA21" i="3"/>
  <c r="AA22" i="3" s="1"/>
  <c r="AC22" i="3" s="1"/>
  <c r="AC23" i="3" s="1"/>
  <c r="T32" i="8" l="1"/>
  <c r="V70" i="2"/>
  <c r="V72" i="2" s="1"/>
  <c r="V73" i="2" s="1"/>
  <c r="T38" i="6"/>
  <c r="T39" i="6" s="1"/>
  <c r="X30" i="8"/>
  <c r="T72" i="2"/>
  <c r="T75" i="2" s="1"/>
  <c r="X19" i="4"/>
  <c r="AC20" i="11"/>
  <c r="S43" i="6"/>
  <c r="S9" i="8"/>
  <c r="S17" i="10"/>
  <c r="AA23" i="3"/>
  <c r="AA12" i="3"/>
  <c r="Z19" i="11"/>
  <c r="Z21" i="11" s="1"/>
  <c r="Z66" i="2"/>
  <c r="Z67" i="2" s="1"/>
  <c r="Z33" i="6"/>
  <c r="V38" i="6" l="1"/>
  <c r="V39" i="6" s="1"/>
  <c r="V40" i="6" s="1"/>
  <c r="T73" i="2"/>
  <c r="X21" i="4"/>
  <c r="X24" i="4"/>
  <c r="Y16" i="4"/>
  <c r="Y23" i="4" s="1"/>
  <c r="X33" i="11"/>
  <c r="X34" i="11" s="1"/>
  <c r="T76" i="2"/>
  <c r="T77" i="2" s="1"/>
  <c r="T42" i="6"/>
  <c r="V75" i="2"/>
  <c r="V76" i="2" s="1"/>
  <c r="V77" i="2" s="1"/>
  <c r="T40" i="6"/>
  <c r="S28" i="11"/>
  <c r="S10" i="8"/>
  <c r="S44" i="6"/>
  <c r="S38" i="11"/>
  <c r="Z34" i="6"/>
  <c r="Z35" i="6" s="1"/>
  <c r="AA14" i="3"/>
  <c r="AA15" i="3" s="1"/>
  <c r="AA16" i="3" s="1"/>
  <c r="AE19" i="3"/>
  <c r="AA20" i="11"/>
  <c r="Y18" i="4" l="1"/>
  <c r="Y25" i="4"/>
  <c r="X70" i="2"/>
  <c r="X38" i="6" s="1"/>
  <c r="X39" i="6" s="1"/>
  <c r="X31" i="8"/>
  <c r="X32" i="8" s="1"/>
  <c r="Y19" i="4"/>
  <c r="T43" i="6"/>
  <c r="T38" i="11" s="1"/>
  <c r="S30" i="11"/>
  <c r="S13" i="8"/>
  <c r="Y30" i="8"/>
  <c r="S39" i="11"/>
  <c r="T17" i="10"/>
  <c r="T9" i="8"/>
  <c r="V42" i="6"/>
  <c r="AE21" i="3"/>
  <c r="AE22" i="3" s="1"/>
  <c r="AE23" i="3" s="1"/>
  <c r="AJ19" i="3"/>
  <c r="AE12" i="3"/>
  <c r="AA19" i="11"/>
  <c r="AA21" i="11" s="1"/>
  <c r="AA64" i="2"/>
  <c r="AC15" i="3"/>
  <c r="AC16" i="3" s="1"/>
  <c r="X72" i="2" l="1"/>
  <c r="X75" i="2" s="1"/>
  <c r="V43" i="6"/>
  <c r="V38" i="11" s="1"/>
  <c r="V39" i="11" s="1"/>
  <c r="E11" i="15"/>
  <c r="E12" i="15" s="1"/>
  <c r="T44" i="6"/>
  <c r="AC19" i="11"/>
  <c r="AC21" i="11" s="1"/>
  <c r="V17" i="10"/>
  <c r="X40" i="6"/>
  <c r="T10" i="8"/>
  <c r="V9" i="8"/>
  <c r="V10" i="8" s="1"/>
  <c r="T28" i="11"/>
  <c r="T39" i="11"/>
  <c r="Y33" i="11"/>
  <c r="Y34" i="11" s="1"/>
  <c r="Y24" i="4"/>
  <c r="Y21" i="4"/>
  <c r="Z16" i="4"/>
  <c r="S41" i="11"/>
  <c r="AA66" i="2"/>
  <c r="AA67" i="2" s="1"/>
  <c r="AC64" i="2"/>
  <c r="AC66" i="2" s="1"/>
  <c r="AC67" i="2" s="1"/>
  <c r="AA33" i="6"/>
  <c r="AE14" i="3"/>
  <c r="AE15" i="3" s="1"/>
  <c r="AE16" i="3" s="1"/>
  <c r="AJ12" i="3"/>
  <c r="AF19" i="3"/>
  <c r="AE20" i="11"/>
  <c r="X73" i="2" l="1"/>
  <c r="V44" i="6"/>
  <c r="V28" i="11"/>
  <c r="V18" i="10"/>
  <c r="X76" i="2"/>
  <c r="X77" i="2" s="1"/>
  <c r="X42" i="6"/>
  <c r="T30" i="11"/>
  <c r="T41" i="11" s="1"/>
  <c r="T13" i="8"/>
  <c r="T17" i="8" s="1"/>
  <c r="T19" i="8" s="1"/>
  <c r="T34" i="8" s="1"/>
  <c r="Z18" i="4"/>
  <c r="Z23" i="4"/>
  <c r="Z25" i="4"/>
  <c r="Y31" i="8"/>
  <c r="Y70" i="2"/>
  <c r="AF21" i="3"/>
  <c r="AF22" i="3" s="1"/>
  <c r="AF23" i="3" s="1"/>
  <c r="AF12" i="3"/>
  <c r="AE19" i="11"/>
  <c r="AE21" i="11" s="1"/>
  <c r="AE64" i="2"/>
  <c r="AA34" i="6"/>
  <c r="AC33" i="6"/>
  <c r="Z19" i="4" l="1"/>
  <c r="AC34" i="6"/>
  <c r="AC35" i="6" s="1"/>
  <c r="F10" i="15"/>
  <c r="Y38" i="6"/>
  <c r="Y72" i="2"/>
  <c r="Y32" i="8"/>
  <c r="Z30" i="8"/>
  <c r="X17" i="10"/>
  <c r="X9" i="8"/>
  <c r="X10" i="8" s="1"/>
  <c r="X43" i="6"/>
  <c r="V13" i="8"/>
  <c r="V30" i="11"/>
  <c r="V41" i="11" s="1"/>
  <c r="AE66" i="2"/>
  <c r="AA35" i="6"/>
  <c r="AE33" i="6"/>
  <c r="AF14" i="3"/>
  <c r="AF15" i="3" s="1"/>
  <c r="AG19" i="3"/>
  <c r="AF20" i="11"/>
  <c r="F14" i="15" l="1"/>
  <c r="X28" i="11"/>
  <c r="X44" i="6"/>
  <c r="X38" i="11"/>
  <c r="Z33" i="11"/>
  <c r="Z34" i="11" s="1"/>
  <c r="Z21" i="4"/>
  <c r="Z24" i="4"/>
  <c r="AA16" i="4"/>
  <c r="Y73" i="2"/>
  <c r="Y75" i="2"/>
  <c r="Y39" i="6"/>
  <c r="AG21" i="3"/>
  <c r="AG22" i="3" s="1"/>
  <c r="AG23" i="3" s="1"/>
  <c r="AF64" i="2"/>
  <c r="AF16" i="3"/>
  <c r="AE34" i="6"/>
  <c r="AE67" i="2"/>
  <c r="Y76" i="2" l="1"/>
  <c r="Y77" i="2" s="1"/>
  <c r="X13" i="8"/>
  <c r="X30" i="11"/>
  <c r="Z31" i="8"/>
  <c r="Z70" i="2"/>
  <c r="AA25" i="4"/>
  <c r="AC25" i="4" s="1"/>
  <c r="AA23" i="4"/>
  <c r="AC23" i="4" s="1"/>
  <c r="AA18" i="4"/>
  <c r="X39" i="11"/>
  <c r="Y40" i="6"/>
  <c r="Y42" i="6"/>
  <c r="AE35" i="6"/>
  <c r="AG12" i="3"/>
  <c r="AF19" i="11"/>
  <c r="AF21" i="11" s="1"/>
  <c r="AF33" i="6"/>
  <c r="AF66" i="2"/>
  <c r="AH19" i="3"/>
  <c r="AG20" i="11"/>
  <c r="X41" i="11" l="1"/>
  <c r="AA19" i="4"/>
  <c r="Y43" i="6"/>
  <c r="Y17" i="10"/>
  <c r="Y9" i="8"/>
  <c r="AC18" i="4"/>
  <c r="AA30" i="8"/>
  <c r="Z38" i="6"/>
  <c r="Z72" i="2"/>
  <c r="Z32" i="8"/>
  <c r="AH21" i="3"/>
  <c r="AH22" i="3" s="1"/>
  <c r="AJ22" i="3" s="1"/>
  <c r="AJ23" i="3" s="1"/>
  <c r="AF67" i="2"/>
  <c r="AF34" i="6"/>
  <c r="AG14" i="3"/>
  <c r="AG15" i="3" s="1"/>
  <c r="AG16" i="3" s="1"/>
  <c r="AE16" i="4" l="1"/>
  <c r="AJ16" i="4" s="1"/>
  <c r="AA24" i="4"/>
  <c r="AC24" i="4" s="1"/>
  <c r="AA33" i="11"/>
  <c r="AA34" i="11" s="1"/>
  <c r="AA21" i="4"/>
  <c r="AJ20" i="11"/>
  <c r="Y38" i="11"/>
  <c r="Y39" i="11" s="1"/>
  <c r="Y44" i="6"/>
  <c r="AC19" i="4"/>
  <c r="Z39" i="6"/>
  <c r="Z40" i="6" s="1"/>
  <c r="AC30" i="8"/>
  <c r="AE23" i="4"/>
  <c r="AE25" i="4"/>
  <c r="Y10" i="8"/>
  <c r="Z75" i="2"/>
  <c r="Z73" i="2"/>
  <c r="Y28" i="11"/>
  <c r="AH23" i="3"/>
  <c r="AG64" i="2"/>
  <c r="AF35" i="6"/>
  <c r="AH12" i="3"/>
  <c r="AG19" i="11"/>
  <c r="AG21" i="11" s="1"/>
  <c r="AE18" i="4" l="1"/>
  <c r="AE30" i="8" s="1"/>
  <c r="AC21" i="4"/>
  <c r="AA70" i="2"/>
  <c r="AA31" i="8"/>
  <c r="AC31" i="8" s="1"/>
  <c r="AC32" i="8" s="1"/>
  <c r="AH20" i="11"/>
  <c r="Z76" i="2"/>
  <c r="Z77" i="2" s="1"/>
  <c r="AC33" i="11"/>
  <c r="AC34" i="11" s="1"/>
  <c r="Y30" i="11"/>
  <c r="Y41" i="11" s="1"/>
  <c r="Y13" i="8"/>
  <c r="Z42" i="6"/>
  <c r="AH14" i="3"/>
  <c r="AH15" i="3" s="1"/>
  <c r="AH16" i="3" s="1"/>
  <c r="AG66" i="2"/>
  <c r="AG33" i="6"/>
  <c r="AE19" i="4" l="1"/>
  <c r="AA72" i="2"/>
  <c r="AA73" i="2" s="1"/>
  <c r="AA38" i="6"/>
  <c r="AA32" i="8"/>
  <c r="AC70" i="2"/>
  <c r="AC72" i="2" s="1"/>
  <c r="AC73" i="2" s="1"/>
  <c r="AH19" i="11"/>
  <c r="AH21" i="11" s="1"/>
  <c r="AA39" i="6"/>
  <c r="AC38" i="6"/>
  <c r="AC39" i="6" s="1"/>
  <c r="AC40" i="6" s="1"/>
  <c r="Z43" i="6"/>
  <c r="Z9" i="8"/>
  <c r="Z17" i="10"/>
  <c r="AE33" i="11"/>
  <c r="AE34" i="11" s="1"/>
  <c r="AE21" i="4"/>
  <c r="AE24" i="4"/>
  <c r="AF16" i="4"/>
  <c r="AG34" i="6"/>
  <c r="AG67" i="2"/>
  <c r="AH64" i="2"/>
  <c r="AJ15" i="3"/>
  <c r="AJ16" i="3" s="1"/>
  <c r="AA75" i="2" l="1"/>
  <c r="AA76" i="2" s="1"/>
  <c r="AA77" i="2" s="1"/>
  <c r="AJ19" i="11"/>
  <c r="AJ21" i="11" s="1"/>
  <c r="AE31" i="8"/>
  <c r="AE70" i="2"/>
  <c r="Z28" i="11"/>
  <c r="Z10" i="8"/>
  <c r="Z44" i="6"/>
  <c r="Z38" i="11"/>
  <c r="AA40" i="6"/>
  <c r="AF25" i="4"/>
  <c r="AF23" i="4"/>
  <c r="AF18" i="4"/>
  <c r="AH66" i="2"/>
  <c r="AH67" i="2" s="1"/>
  <c r="AJ64" i="2"/>
  <c r="AJ66" i="2" s="1"/>
  <c r="AJ67" i="2" s="1"/>
  <c r="AH33" i="6"/>
  <c r="AG35" i="6"/>
  <c r="AC75" i="2" l="1"/>
  <c r="AC76" i="2" s="1"/>
  <c r="AC77" i="2" s="1"/>
  <c r="AA42" i="6"/>
  <c r="AA43" i="6" s="1"/>
  <c r="AA38" i="11" s="1"/>
  <c r="AF19" i="4"/>
  <c r="AF30" i="8"/>
  <c r="Z39" i="11"/>
  <c r="AE32" i="8"/>
  <c r="Z30" i="11"/>
  <c r="Z13" i="8"/>
  <c r="AA9" i="8"/>
  <c r="AA17" i="10"/>
  <c r="AE38" i="6"/>
  <c r="AE39" i="6" s="1"/>
  <c r="AE72" i="2"/>
  <c r="AH34" i="6"/>
  <c r="AH35" i="6" s="1"/>
  <c r="AJ33" i="6"/>
  <c r="D8" i="10"/>
  <c r="F8" i="10"/>
  <c r="H7" i="10"/>
  <c r="E8" i="10"/>
  <c r="AC42" i="6" l="1"/>
  <c r="AC43" i="6" s="1"/>
  <c r="AC44" i="6" s="1"/>
  <c r="AJ34" i="6"/>
  <c r="AJ35" i="6" s="1"/>
  <c r="G10" i="15"/>
  <c r="AA44" i="6"/>
  <c r="AC17" i="10"/>
  <c r="AE40" i="6"/>
  <c r="AA28" i="11"/>
  <c r="AA10" i="8"/>
  <c r="AC9" i="8"/>
  <c r="AC10" i="8" s="1"/>
  <c r="Z41" i="11"/>
  <c r="AA39" i="11"/>
  <c r="AE75" i="2"/>
  <c r="AE73" i="2"/>
  <c r="AF33" i="11"/>
  <c r="AF34" i="11" s="1"/>
  <c r="AG16" i="4"/>
  <c r="AF24" i="4"/>
  <c r="AF21" i="4"/>
  <c r="H8" i="10"/>
  <c r="H13" i="11"/>
  <c r="E11" i="10"/>
  <c r="F11" i="10"/>
  <c r="AE9" i="10"/>
  <c r="AF9" i="10"/>
  <c r="Y9" i="10"/>
  <c r="X9" i="10"/>
  <c r="R9" i="10"/>
  <c r="Q9" i="10"/>
  <c r="F11" i="15" l="1"/>
  <c r="F12" i="15" s="1"/>
  <c r="AC38" i="11"/>
  <c r="AC39" i="11" s="1"/>
  <c r="G14" i="15"/>
  <c r="AE42" i="6"/>
  <c r="AC9" i="10"/>
  <c r="AF31" i="8"/>
  <c r="AF70" i="2"/>
  <c r="AG23" i="4"/>
  <c r="AG25" i="4"/>
  <c r="AG18" i="4"/>
  <c r="AC28" i="11"/>
  <c r="AC18" i="10"/>
  <c r="AA30" i="11"/>
  <c r="AA41" i="11" s="1"/>
  <c r="AA13" i="8"/>
  <c r="AA17" i="8" s="1"/>
  <c r="AA19" i="8" s="1"/>
  <c r="AA34" i="8" s="1"/>
  <c r="AE76" i="2"/>
  <c r="AE77" i="2" s="1"/>
  <c r="H15" i="8"/>
  <c r="O15" i="8"/>
  <c r="AE15" i="11"/>
  <c r="AE11" i="10"/>
  <c r="V9" i="10"/>
  <c r="Q15" i="11"/>
  <c r="Q11" i="10"/>
  <c r="R15" i="11"/>
  <c r="R11" i="10"/>
  <c r="X15" i="11"/>
  <c r="X11" i="10"/>
  <c r="Y15" i="11"/>
  <c r="Y11" i="10"/>
  <c r="AJ9" i="10"/>
  <c r="AF15" i="11"/>
  <c r="AF11" i="10"/>
  <c r="K9" i="10"/>
  <c r="J9" i="10"/>
  <c r="AE43" i="6" l="1"/>
  <c r="AE44" i="6" s="1"/>
  <c r="AC11" i="10"/>
  <c r="V10" i="10"/>
  <c r="AC15" i="11"/>
  <c r="AE9" i="8"/>
  <c r="AE10" i="8" s="1"/>
  <c r="AE17" i="10"/>
  <c r="AE28" i="11" s="1"/>
  <c r="AG30" i="8"/>
  <c r="AG19" i="4"/>
  <c r="AC10" i="10"/>
  <c r="O9" i="10"/>
  <c r="AF32" i="8"/>
  <c r="AC13" i="8"/>
  <c r="AC30" i="11"/>
  <c r="AC41" i="11" s="1"/>
  <c r="AF38" i="6"/>
  <c r="AF72" i="2"/>
  <c r="AF16" i="8"/>
  <c r="AG16" i="8"/>
  <c r="Y16" i="8"/>
  <c r="Y17" i="8" s="1"/>
  <c r="Y19" i="8" s="1"/>
  <c r="Y34" i="8" s="1"/>
  <c r="Z16" i="8"/>
  <c r="Z17" i="8" s="1"/>
  <c r="Z19" i="8" s="1"/>
  <c r="Z34" i="8" s="1"/>
  <c r="X16" i="8"/>
  <c r="X17" i="8" s="1"/>
  <c r="X19" i="8" s="1"/>
  <c r="X34" i="8" s="1"/>
  <c r="Q16" i="8"/>
  <c r="Q17" i="8" s="1"/>
  <c r="Q19" i="8" s="1"/>
  <c r="Q34" i="8" s="1"/>
  <c r="AE16" i="8"/>
  <c r="R16" i="8"/>
  <c r="R17" i="8" s="1"/>
  <c r="R19" i="8" s="1"/>
  <c r="R34" i="8" s="1"/>
  <c r="S16" i="8"/>
  <c r="S17" i="8" s="1"/>
  <c r="S19" i="8" s="1"/>
  <c r="S34" i="8" s="1"/>
  <c r="AJ15" i="11"/>
  <c r="AJ11" i="10"/>
  <c r="AJ10" i="10"/>
  <c r="V15" i="11"/>
  <c r="V11" i="10"/>
  <c r="J11" i="10"/>
  <c r="J15" i="11"/>
  <c r="K11" i="10"/>
  <c r="K15" i="11"/>
  <c r="C11" i="10"/>
  <c r="H9" i="10"/>
  <c r="D11" i="10"/>
  <c r="C27" i="11"/>
  <c r="H15" i="10"/>
  <c r="AE38" i="11" l="1"/>
  <c r="AE39" i="11" s="1"/>
  <c r="AG24" i="4"/>
  <c r="AC16" i="8"/>
  <c r="AC17" i="8" s="1"/>
  <c r="AC19" i="8" s="1"/>
  <c r="AC34" i="8" s="1"/>
  <c r="O10" i="10"/>
  <c r="AE13" i="8"/>
  <c r="AE17" i="8" s="1"/>
  <c r="AE19" i="8" s="1"/>
  <c r="AE34" i="8" s="1"/>
  <c r="AE30" i="11"/>
  <c r="O15" i="11"/>
  <c r="O11" i="10"/>
  <c r="AH16" i="4"/>
  <c r="AG21" i="4"/>
  <c r="AG33" i="11"/>
  <c r="AG34" i="11" s="1"/>
  <c r="AF73" i="2"/>
  <c r="AF75" i="2"/>
  <c r="AF39" i="6"/>
  <c r="K16" i="8"/>
  <c r="K17" i="8" s="1"/>
  <c r="K19" i="8" s="1"/>
  <c r="K34" i="8" s="1"/>
  <c r="L16" i="8"/>
  <c r="L17" i="8" s="1"/>
  <c r="L19" i="8" s="1"/>
  <c r="L34" i="8" s="1"/>
  <c r="AJ16" i="8"/>
  <c r="C30" i="11"/>
  <c r="C41" i="11" s="1"/>
  <c r="C12" i="8"/>
  <c r="C17" i="8" s="1"/>
  <c r="C19" i="8" s="1"/>
  <c r="C34" i="8" s="1"/>
  <c r="C36" i="8" s="1"/>
  <c r="D12" i="8"/>
  <c r="D17" i="8" s="1"/>
  <c r="D19" i="8" s="1"/>
  <c r="D34" i="8" s="1"/>
  <c r="J16" i="8"/>
  <c r="J17" i="8" s="1"/>
  <c r="J19" i="8" s="1"/>
  <c r="J34" i="8" s="1"/>
  <c r="H27" i="11"/>
  <c r="H16" i="10"/>
  <c r="H15" i="11"/>
  <c r="H10" i="10"/>
  <c r="H11" i="10"/>
  <c r="AA21" i="10"/>
  <c r="AA23" i="10" s="1"/>
  <c r="AA25" i="10" s="1"/>
  <c r="L21" i="10"/>
  <c r="L23" i="10" s="1"/>
  <c r="E21" i="10"/>
  <c r="E23" i="10" s="1"/>
  <c r="M21" i="10"/>
  <c r="M23" i="10" s="1"/>
  <c r="M25" i="10" s="1"/>
  <c r="Y21" i="10"/>
  <c r="Y23" i="10" s="1"/>
  <c r="Y25" i="10" s="1"/>
  <c r="K21" i="10"/>
  <c r="K23" i="10" s="1"/>
  <c r="K25" i="10" s="1"/>
  <c r="Z21" i="10"/>
  <c r="Z23" i="10" s="1"/>
  <c r="T21" i="10"/>
  <c r="T23" i="10" s="1"/>
  <c r="T25" i="10" s="1"/>
  <c r="H21" i="10"/>
  <c r="C21" i="10"/>
  <c r="C23" i="10" s="1"/>
  <c r="C25" i="10" s="1"/>
  <c r="R21" i="10"/>
  <c r="R23" i="10" s="1"/>
  <c r="R25" i="10" s="1"/>
  <c r="X21" i="10"/>
  <c r="X23" i="10" s="1"/>
  <c r="D21" i="10"/>
  <c r="D23" i="10" s="1"/>
  <c r="F21" i="10"/>
  <c r="F23" i="10" s="1"/>
  <c r="S21" i="10"/>
  <c r="S23" i="10" s="1"/>
  <c r="Q21" i="10"/>
  <c r="Q23" i="10" s="1"/>
  <c r="V16" i="8" l="1"/>
  <c r="V17" i="8" s="1"/>
  <c r="V19" i="8" s="1"/>
  <c r="V34" i="8" s="1"/>
  <c r="AE41" i="11"/>
  <c r="AF76" i="2"/>
  <c r="AF77" i="2" s="1"/>
  <c r="AG70" i="2"/>
  <c r="AH18" i="4"/>
  <c r="AG31" i="8"/>
  <c r="AG32" i="8" s="1"/>
  <c r="AH25" i="4"/>
  <c r="AJ25" i="4" s="1"/>
  <c r="AH23" i="4"/>
  <c r="AJ23" i="4" s="1"/>
  <c r="AF40" i="6"/>
  <c r="AF42" i="6"/>
  <c r="D35" i="8"/>
  <c r="D36" i="8" s="1"/>
  <c r="C14" i="11"/>
  <c r="C16" i="11" s="1"/>
  <c r="H30" i="11"/>
  <c r="H41" i="11" s="1"/>
  <c r="H12" i="8"/>
  <c r="O12" i="8"/>
  <c r="H16" i="8"/>
  <c r="O16" i="8"/>
  <c r="H23" i="10"/>
  <c r="H25" i="10" s="1"/>
  <c r="C15" i="15" s="1"/>
  <c r="C17" i="15" s="1"/>
  <c r="C20" i="15" s="1"/>
  <c r="C23" i="15" s="1"/>
  <c r="D25" i="10"/>
  <c r="X25" i="10"/>
  <c r="AC21" i="10"/>
  <c r="AC23" i="10" s="1"/>
  <c r="V21" i="10"/>
  <c r="V23" i="10" s="1"/>
  <c r="E25" i="10"/>
  <c r="F25" i="10"/>
  <c r="AE21" i="10"/>
  <c r="AE23" i="10" s="1"/>
  <c r="AE25" i="10" s="1"/>
  <c r="J21" i="10"/>
  <c r="J23" i="10" s="1"/>
  <c r="J25" i="10" s="1"/>
  <c r="Q25" i="10"/>
  <c r="AG72" i="2" l="1"/>
  <c r="AG75" i="2" s="1"/>
  <c r="AG38" i="6"/>
  <c r="AG39" i="6" s="1"/>
  <c r="AH30" i="8"/>
  <c r="AJ30" i="8" s="1"/>
  <c r="AJ18" i="4"/>
  <c r="AJ19" i="4" s="1"/>
  <c r="AH19" i="4"/>
  <c r="C23" i="11"/>
  <c r="C42" i="11" s="1"/>
  <c r="AF9" i="8"/>
  <c r="AF17" i="10"/>
  <c r="AF43" i="6"/>
  <c r="D14" i="11"/>
  <c r="D16" i="11" s="1"/>
  <c r="E35" i="8"/>
  <c r="E36" i="8" s="1"/>
  <c r="O17" i="8"/>
  <c r="O19" i="8" s="1"/>
  <c r="O34" i="8" s="1"/>
  <c r="H17" i="8"/>
  <c r="H19" i="8" s="1"/>
  <c r="H34" i="8" s="1"/>
  <c r="L25" i="10"/>
  <c r="O21" i="10"/>
  <c r="O23" i="10" s="1"/>
  <c r="V25" i="10" s="1"/>
  <c r="E15" i="15" s="1"/>
  <c r="E17" i="15" s="1"/>
  <c r="E20" i="15" s="1"/>
  <c r="E23" i="15" s="1"/>
  <c r="Z25" i="10"/>
  <c r="AC25" i="10"/>
  <c r="F15" i="15" s="1"/>
  <c r="F17" i="15" s="1"/>
  <c r="F20" i="15" s="1"/>
  <c r="F23" i="15" s="1"/>
  <c r="AG73" i="2" l="1"/>
  <c r="AH33" i="11"/>
  <c r="AH34" i="11" s="1"/>
  <c r="AJ33" i="11"/>
  <c r="AJ34" i="11" s="1"/>
  <c r="AG76" i="2"/>
  <c r="AG77" i="2" s="1"/>
  <c r="AH21" i="4"/>
  <c r="AH24" i="4"/>
  <c r="AJ24" i="4" s="1"/>
  <c r="D23" i="11"/>
  <c r="D42" i="11" s="1"/>
  <c r="AG40" i="6"/>
  <c r="AF10" i="8"/>
  <c r="AF44" i="6"/>
  <c r="AF38" i="11"/>
  <c r="AF28" i="11"/>
  <c r="AF21" i="10"/>
  <c r="AF23" i="10" s="1"/>
  <c r="AF25" i="10" s="1"/>
  <c r="AG42" i="6"/>
  <c r="F35" i="8"/>
  <c r="F36" i="8" s="1"/>
  <c r="E14" i="11"/>
  <c r="E16" i="11" s="1"/>
  <c r="O25" i="10"/>
  <c r="D15" i="15" s="1"/>
  <c r="D17" i="15" s="1"/>
  <c r="D20" i="15" s="1"/>
  <c r="D23" i="15" s="1"/>
  <c r="S25" i="10"/>
  <c r="AJ21" i="4" l="1"/>
  <c r="AH70" i="2"/>
  <c r="AJ70" i="2" s="1"/>
  <c r="AJ72" i="2" s="1"/>
  <c r="AJ73" i="2" s="1"/>
  <c r="AH31" i="8"/>
  <c r="AH32" i="8" s="1"/>
  <c r="AG43" i="6"/>
  <c r="AG38" i="11" s="1"/>
  <c r="E23" i="11"/>
  <c r="E42" i="11" s="1"/>
  <c r="AF13" i="8"/>
  <c r="AF17" i="8" s="1"/>
  <c r="AF19" i="8" s="1"/>
  <c r="AF34" i="8" s="1"/>
  <c r="AF30" i="11"/>
  <c r="AF39" i="11"/>
  <c r="AG17" i="10"/>
  <c r="AG9" i="8"/>
  <c r="F14" i="11"/>
  <c r="F16" i="11" s="1"/>
  <c r="J35" i="8"/>
  <c r="H36" i="8"/>
  <c r="AH72" i="2" l="1"/>
  <c r="AH75" i="2" s="1"/>
  <c r="AH38" i="6"/>
  <c r="AJ38" i="6" s="1"/>
  <c r="AJ39" i="6" s="1"/>
  <c r="AJ40" i="6" s="1"/>
  <c r="AJ31" i="8"/>
  <c r="AJ32" i="8" s="1"/>
  <c r="AG44" i="6"/>
  <c r="H14" i="11"/>
  <c r="H16" i="11" s="1"/>
  <c r="H23" i="11" s="1"/>
  <c r="H42" i="11" s="1"/>
  <c r="F23" i="11"/>
  <c r="F42" i="11" s="1"/>
  <c r="AF41" i="11"/>
  <c r="AG28" i="11"/>
  <c r="AG21" i="10"/>
  <c r="AG23" i="10" s="1"/>
  <c r="AG25" i="10" s="1"/>
  <c r="AH39" i="6"/>
  <c r="AG10" i="8"/>
  <c r="AG39" i="11"/>
  <c r="O35" i="8"/>
  <c r="J36" i="8"/>
  <c r="AH73" i="2" l="1"/>
  <c r="AH76" i="2"/>
  <c r="AH77" i="2" s="1"/>
  <c r="AH40" i="6"/>
  <c r="AG13" i="8"/>
  <c r="AG17" i="8" s="1"/>
  <c r="AG19" i="8" s="1"/>
  <c r="AG34" i="8" s="1"/>
  <c r="AG30" i="11"/>
  <c r="AG41" i="11" s="1"/>
  <c r="AH42" i="6"/>
  <c r="AJ75" i="2"/>
  <c r="AJ76" i="2" s="1"/>
  <c r="AJ77" i="2" s="1"/>
  <c r="K35" i="8"/>
  <c r="K36" i="8" s="1"/>
  <c r="J14" i="11"/>
  <c r="J16" i="11" s="1"/>
  <c r="J23" i="11" l="1"/>
  <c r="J42" i="11" s="1"/>
  <c r="AH9" i="8"/>
  <c r="AH17" i="10"/>
  <c r="AJ42" i="6"/>
  <c r="AH43" i="6"/>
  <c r="L35" i="8"/>
  <c r="L36" i="8" s="1"/>
  <c r="K14" i="11"/>
  <c r="K16" i="11" s="1"/>
  <c r="AJ17" i="10" l="1"/>
  <c r="AJ43" i="6"/>
  <c r="G11" i="15"/>
  <c r="G12" i="15" s="1"/>
  <c r="K23" i="11"/>
  <c r="K42" i="11" s="1"/>
  <c r="AH10" i="8"/>
  <c r="AJ9" i="8"/>
  <c r="AJ10" i="8" s="1"/>
  <c r="AH44" i="6"/>
  <c r="AH38" i="11"/>
  <c r="AH39" i="11" s="1"/>
  <c r="AH21" i="10"/>
  <c r="AH23" i="10" s="1"/>
  <c r="AH25" i="10" s="1"/>
  <c r="AH28" i="11"/>
  <c r="M35" i="8"/>
  <c r="M36" i="8" s="1"/>
  <c r="L14" i="11"/>
  <c r="L16" i="11" s="1"/>
  <c r="AJ38" i="11" l="1"/>
  <c r="AJ39" i="11" s="1"/>
  <c r="AJ44" i="6"/>
  <c r="L23" i="11"/>
  <c r="L42" i="11" s="1"/>
  <c r="AH13" i="8"/>
  <c r="AH17" i="8" s="1"/>
  <c r="AH19" i="8" s="1"/>
  <c r="AH34" i="8" s="1"/>
  <c r="AH30" i="11"/>
  <c r="AH41" i="11" s="1"/>
  <c r="AJ28" i="11"/>
  <c r="AJ18" i="10"/>
  <c r="AJ21" i="10"/>
  <c r="AJ23" i="10" s="1"/>
  <c r="AJ25" i="10" s="1"/>
  <c r="G15" i="15" s="1"/>
  <c r="G17" i="15" s="1"/>
  <c r="M14" i="11"/>
  <c r="M16" i="11" s="1"/>
  <c r="O36" i="8"/>
  <c r="Q35" i="8"/>
  <c r="G21" i="15" l="1"/>
  <c r="G22" i="15" s="1"/>
  <c r="G20" i="15"/>
  <c r="O14" i="11"/>
  <c r="O16" i="11" s="1"/>
  <c r="O23" i="11" s="1"/>
  <c r="O42" i="11" s="1"/>
  <c r="M23" i="11"/>
  <c r="M42" i="11" s="1"/>
  <c r="AJ30" i="11"/>
  <c r="AJ41" i="11" s="1"/>
  <c r="AJ13" i="8"/>
  <c r="AJ17" i="8" s="1"/>
  <c r="AJ19" i="8" s="1"/>
  <c r="AJ34" i="8" s="1"/>
  <c r="Q36" i="8"/>
  <c r="V35" i="8"/>
  <c r="G23" i="15" l="1"/>
  <c r="C25" i="15" s="1"/>
  <c r="C28" i="15" s="1"/>
  <c r="R35" i="8"/>
  <c r="R36" i="8" s="1"/>
  <c r="Q14" i="11"/>
  <c r="Q16" i="11" s="1"/>
  <c r="Q23" i="11" l="1"/>
  <c r="Q42" i="11" s="1"/>
  <c r="S35" i="8"/>
  <c r="S36" i="8" s="1"/>
  <c r="R14" i="11"/>
  <c r="R16" i="11" s="1"/>
  <c r="R23" i="11" l="1"/>
  <c r="R42" i="11" s="1"/>
  <c r="T35" i="8"/>
  <c r="T36" i="8" s="1"/>
  <c r="S14" i="11"/>
  <c r="S16" i="11" s="1"/>
  <c r="S23" i="11" l="1"/>
  <c r="S42" i="11" s="1"/>
  <c r="T14" i="11"/>
  <c r="T16" i="11" s="1"/>
  <c r="V36" i="8"/>
  <c r="X35" i="8"/>
  <c r="V14" i="11" l="1"/>
  <c r="V16" i="11" s="1"/>
  <c r="V23" i="11" s="1"/>
  <c r="V42" i="11" s="1"/>
  <c r="T23" i="11"/>
  <c r="T42" i="11" s="1"/>
  <c r="X36" i="8"/>
  <c r="AC35" i="8"/>
  <c r="Y35" i="8" l="1"/>
  <c r="Y36" i="8" s="1"/>
  <c r="X14" i="11"/>
  <c r="X16" i="11" s="1"/>
  <c r="X23" i="11" l="1"/>
  <c r="X42" i="11" s="1"/>
  <c r="Z35" i="8"/>
  <c r="Z36" i="8" s="1"/>
  <c r="Y14" i="11"/>
  <c r="Y16" i="11" s="1"/>
  <c r="Y23" i="11" l="1"/>
  <c r="Y42" i="11" s="1"/>
  <c r="AA35" i="8"/>
  <c r="AA36" i="8" s="1"/>
  <c r="Z14" i="11"/>
  <c r="Z16" i="11" s="1"/>
  <c r="Z23" i="11" l="1"/>
  <c r="Z42" i="11" s="1"/>
  <c r="AC36" i="8"/>
  <c r="AE35" i="8"/>
  <c r="AA14" i="11"/>
  <c r="AA16" i="11" s="1"/>
  <c r="AC14" i="11" l="1"/>
  <c r="AC16" i="11" s="1"/>
  <c r="AC23" i="11" s="1"/>
  <c r="AC42" i="11" s="1"/>
  <c r="AA23" i="11"/>
  <c r="AA42" i="11" s="1"/>
  <c r="AE36" i="8"/>
  <c r="AJ35" i="8"/>
  <c r="AF35" i="8" l="1"/>
  <c r="AF36" i="8" s="1"/>
  <c r="AE14" i="11"/>
  <c r="AE16" i="11" s="1"/>
  <c r="AE23" i="11" l="1"/>
  <c r="AE42" i="11" s="1"/>
  <c r="AG35" i="8"/>
  <c r="AG36" i="8" s="1"/>
  <c r="AF14" i="11"/>
  <c r="AF16" i="11" s="1"/>
  <c r="AF23" i="11" l="1"/>
  <c r="AF42" i="11" s="1"/>
  <c r="AH35" i="8"/>
  <c r="AH36" i="8" s="1"/>
  <c r="AG14" i="11"/>
  <c r="AG16" i="11" s="1"/>
  <c r="AG23" i="11" l="1"/>
  <c r="AG42" i="11" s="1"/>
  <c r="AJ36" i="8"/>
  <c r="AH14" i="11"/>
  <c r="AH16" i="11" s="1"/>
  <c r="AJ14" i="11" l="1"/>
  <c r="AJ16" i="11" s="1"/>
  <c r="AJ23" i="11" s="1"/>
  <c r="AJ42" i="11" s="1"/>
  <c r="AH23" i="11"/>
  <c r="AH42" i="11" s="1"/>
</calcChain>
</file>

<file path=xl/sharedStrings.xml><?xml version="1.0" encoding="utf-8"?>
<sst xmlns="http://schemas.openxmlformats.org/spreadsheetml/2006/main" count="314" uniqueCount="194">
  <si>
    <t>Particulars</t>
  </si>
  <si>
    <t>Amount</t>
  </si>
  <si>
    <t>Loan Amount</t>
  </si>
  <si>
    <t>Depreciation Rate (WDV)</t>
  </si>
  <si>
    <t>Interest Rate</t>
  </si>
  <si>
    <t>Loan Tenure (Years)</t>
  </si>
  <si>
    <t>Loan Tenure (Month)</t>
  </si>
  <si>
    <t>Royalty Model</t>
  </si>
  <si>
    <t>FY26-27</t>
  </si>
  <si>
    <t>FY27-28</t>
  </si>
  <si>
    <t>FY28-29</t>
  </si>
  <si>
    <t>FY29-30</t>
  </si>
  <si>
    <t>FY26-27 Q1</t>
  </si>
  <si>
    <t>FY26-27 Q2</t>
  </si>
  <si>
    <t>FY26-27 Q3</t>
  </si>
  <si>
    <t>FY26-27 Q4</t>
  </si>
  <si>
    <t>FY27-28 Q1</t>
  </si>
  <si>
    <t>FY27-28 Q2</t>
  </si>
  <si>
    <t>FY27-28 Q3</t>
  </si>
  <si>
    <t>FY27-28 Q4</t>
  </si>
  <si>
    <t>FY28-29 Q1</t>
  </si>
  <si>
    <t>FY28-29 Q2</t>
  </si>
  <si>
    <t>FY28-29 Q3</t>
  </si>
  <si>
    <t>FY28-29 Q4</t>
  </si>
  <si>
    <t>FY29-30 Q1</t>
  </si>
  <si>
    <t>FY29-30 Q2</t>
  </si>
  <si>
    <t>FY29-30 Q3</t>
  </si>
  <si>
    <t>FY29-30 Q4</t>
  </si>
  <si>
    <t>Order Date</t>
  </si>
  <si>
    <t>Deployment Date</t>
  </si>
  <si>
    <t>Total</t>
  </si>
  <si>
    <t>New Trucks Ordered</t>
  </si>
  <si>
    <t>Cummulative Truckrs</t>
  </si>
  <si>
    <t>Fleet Management Model - New Trucks Deployed</t>
  </si>
  <si>
    <t>Fleet Management Model - Cumulative Trucks Deployed</t>
  </si>
  <si>
    <t>Annual Escilation</t>
  </si>
  <si>
    <t>Fleet Management Model</t>
  </si>
  <si>
    <t>Recurrent Revenue Per Truck</t>
  </si>
  <si>
    <t>Total Recurrent Revenue</t>
  </si>
  <si>
    <t>Fleet Management Model - Truck Deployment</t>
  </si>
  <si>
    <t>Royalty Model - Assumptions</t>
  </si>
  <si>
    <t>Royalty on Sale of Truck - License</t>
  </si>
  <si>
    <t>Royalty Revenue Per Truck Sold</t>
  </si>
  <si>
    <t>Total Royalty Revenue</t>
  </si>
  <si>
    <t>Royalty Model - New Trucks Sold by Licensee</t>
  </si>
  <si>
    <t>Custom Build Model - New Trucks Sold by OKA Holdings</t>
  </si>
  <si>
    <t>Sale Price of Truck</t>
  </si>
  <si>
    <t>Average Selling Price Per Truck</t>
  </si>
  <si>
    <t>Total Revenue</t>
  </si>
  <si>
    <t>No of Trucks Deployed by Models</t>
  </si>
  <si>
    <t>Total Trucks Manufactured</t>
  </si>
  <si>
    <t>Revenue</t>
  </si>
  <si>
    <t>Cost of Manufacturing Trucks</t>
  </si>
  <si>
    <t>Gross Profit</t>
  </si>
  <si>
    <t>Gross Profit Margin</t>
  </si>
  <si>
    <t>Direct Expenses</t>
  </si>
  <si>
    <t>Indirect Expenses</t>
  </si>
  <si>
    <t>% of Revenue</t>
  </si>
  <si>
    <t>Marketing &amp; Advertisement</t>
  </si>
  <si>
    <t>Corporate Team Cost</t>
  </si>
  <si>
    <t>Directors Fees</t>
  </si>
  <si>
    <t>Total Super, Payroll, Workers Compensation</t>
  </si>
  <si>
    <t>Corporate Overheads</t>
  </si>
  <si>
    <t>Sales &amp; Business Developemt Team Salaries</t>
  </si>
  <si>
    <t>EBITDA</t>
  </si>
  <si>
    <t>Total Direct Cost</t>
  </si>
  <si>
    <t>EBITDA Margin</t>
  </si>
  <si>
    <t>R&amp;D Expenses</t>
  </si>
  <si>
    <t>Q&amp;C Expenses</t>
  </si>
  <si>
    <t>Opening Book Value</t>
  </si>
  <si>
    <t>Purchases</t>
  </si>
  <si>
    <t>Depreciation</t>
  </si>
  <si>
    <t>Closing Book Value</t>
  </si>
  <si>
    <t>Average Cost of Each Truck</t>
  </si>
  <si>
    <t>EBIT</t>
  </si>
  <si>
    <t>EBIT Margin</t>
  </si>
  <si>
    <t>Total Deployment</t>
  </si>
  <si>
    <t>25% Own Capital</t>
  </si>
  <si>
    <t>75% Borrowing / Debt</t>
  </si>
  <si>
    <t>Opening Debt</t>
  </si>
  <si>
    <t>Addition to Debt</t>
  </si>
  <si>
    <t xml:space="preserve">Debt Repayment </t>
  </si>
  <si>
    <t>Closing Debt</t>
  </si>
  <si>
    <t>Interest Payment</t>
  </si>
  <si>
    <t>Other Income</t>
  </si>
  <si>
    <t>PBT</t>
  </si>
  <si>
    <t>PBT Margin</t>
  </si>
  <si>
    <t>Debt Repayment &amp; Interest Schedule</t>
  </si>
  <si>
    <t>Revenue from Fleet Management Model</t>
  </si>
  <si>
    <t>Revenue from Royalty Model</t>
  </si>
  <si>
    <t>OKA Holdings - Assumption Sheet</t>
  </si>
  <si>
    <t>OKA Holdings - P&amp;L Assumption Sheet</t>
  </si>
  <si>
    <t>OKA Holdings - Fixed Asset Schedule</t>
  </si>
  <si>
    <t>OKA Holdings - Capital Deployment &amp; Debt Repayment</t>
  </si>
  <si>
    <t>Interest</t>
  </si>
  <si>
    <t>Prinicpal</t>
  </si>
  <si>
    <t>Add: Other Income</t>
  </si>
  <si>
    <t>Less: Tax</t>
  </si>
  <si>
    <t>Cash flow before working capital changes</t>
  </si>
  <si>
    <t>Changes in Working Capital:</t>
  </si>
  <si>
    <t>Account Payable</t>
  </si>
  <si>
    <t>Current Tax Liabilities</t>
  </si>
  <si>
    <t>Other Current Liabilities</t>
  </si>
  <si>
    <t>Account Receivables</t>
  </si>
  <si>
    <t>Other Current Assets</t>
  </si>
  <si>
    <t>Change in working capital</t>
  </si>
  <si>
    <t>Cashflow from Operating Activity</t>
  </si>
  <si>
    <t>Cashflow from Investing Activity</t>
  </si>
  <si>
    <t>Cashflow from Financing Activity</t>
  </si>
  <si>
    <t>Funds Infusion</t>
  </si>
  <si>
    <t>Add: Debt Addition</t>
  </si>
  <si>
    <t>Less: Debt Repayment</t>
  </si>
  <si>
    <t>Less: Interest Paid</t>
  </si>
  <si>
    <t>Cash Flow generated during the year</t>
  </si>
  <si>
    <t xml:space="preserve">Cash and cash equivalents at the beginning </t>
  </si>
  <si>
    <t>Cash and cash equivalents at the end</t>
  </si>
  <si>
    <t>Tax Payable</t>
  </si>
  <si>
    <t>PAT Margin</t>
  </si>
  <si>
    <t>OKA Holdings - Working Capital Assumptions</t>
  </si>
  <si>
    <t>Accounts Receivables</t>
  </si>
  <si>
    <t>Days</t>
  </si>
  <si>
    <t>Total Current Assets</t>
  </si>
  <si>
    <t>Current Liabilities</t>
  </si>
  <si>
    <t>Current Tax Libailities</t>
  </si>
  <si>
    <t>% of Tax Payable</t>
  </si>
  <si>
    <t>Total Current Liabilities</t>
  </si>
  <si>
    <t>Net Working Capital Requirment</t>
  </si>
  <si>
    <t>Change in Working Capital</t>
  </si>
  <si>
    <t>Assets</t>
  </si>
  <si>
    <t>Current Assets</t>
  </si>
  <si>
    <t>Bank Balance</t>
  </si>
  <si>
    <t>Fixed Assets</t>
  </si>
  <si>
    <t>Total Fixed Assets</t>
  </si>
  <si>
    <t>Total Assets</t>
  </si>
  <si>
    <t>Liabilties</t>
  </si>
  <si>
    <t>Non Current Liabilities</t>
  </si>
  <si>
    <t>Long Term Borrowings</t>
  </si>
  <si>
    <t>Other Non Current Liabilities</t>
  </si>
  <si>
    <t>Equity</t>
  </si>
  <si>
    <t>Share Capital</t>
  </si>
  <si>
    <t>Retained Earnings</t>
  </si>
  <si>
    <t>Total Shareholders Fund</t>
  </si>
  <si>
    <t>Total Liabitlies &amp; Equity</t>
  </si>
  <si>
    <t>Check</t>
  </si>
  <si>
    <t>Trucks on the Balance Sheet</t>
  </si>
  <si>
    <t>Other Fixed Assets</t>
  </si>
  <si>
    <t>Trucks Under Fleet Management Model (Closing Block)</t>
  </si>
  <si>
    <t>OKA Holdings - Balance Sheet</t>
  </si>
  <si>
    <t>Revenue from Fleet Magement Model - Quarter</t>
  </si>
  <si>
    <t>Non Current Assets</t>
  </si>
  <si>
    <t xml:space="preserve">Goodwill </t>
  </si>
  <si>
    <t>Less: Capital Expenditure (Trucks)</t>
  </si>
  <si>
    <t>Less: Capital Expenditure (Other Fixed Assets)</t>
  </si>
  <si>
    <t>COGS - Custom Trucks</t>
  </si>
  <si>
    <t>Total Non Current Assets</t>
  </si>
  <si>
    <t>Less: Acquisition of Goodwill</t>
  </si>
  <si>
    <t xml:space="preserve">General Assumptions </t>
  </si>
  <si>
    <t>Own Capital for Acquisition of Trucks</t>
  </si>
  <si>
    <t>Annual Cost Reduction</t>
  </si>
  <si>
    <t>OKA Holdings - Cashflow Statement</t>
  </si>
  <si>
    <t>Total Repayment</t>
  </si>
  <si>
    <t>OKA Holdings - Income Statement</t>
  </si>
  <si>
    <t>Less: Depriciation</t>
  </si>
  <si>
    <t>NOPAT</t>
  </si>
  <si>
    <t>Add: Depreciation</t>
  </si>
  <si>
    <t>Less: Working Capital</t>
  </si>
  <si>
    <t>Less: Capex/ Investment</t>
  </si>
  <si>
    <t>Free Cash Flow during the year</t>
  </si>
  <si>
    <t>Counter</t>
  </si>
  <si>
    <t>Discounted Cash Flow</t>
  </si>
  <si>
    <t>Terminal Value</t>
  </si>
  <si>
    <t>Add: PV of Terminal Value</t>
  </si>
  <si>
    <t>Enterprise Value</t>
  </si>
  <si>
    <t>Add: Cash</t>
  </si>
  <si>
    <t>Less: Debt</t>
  </si>
  <si>
    <t>Equity Value</t>
  </si>
  <si>
    <t>Assumptions</t>
  </si>
  <si>
    <t>WACC</t>
  </si>
  <si>
    <t>Terminal Growth Rate</t>
  </si>
  <si>
    <t>Vehicle Sales Model - Assumptions</t>
  </si>
  <si>
    <t>FY30-31 Q1</t>
  </si>
  <si>
    <t>FY30-31 Q2</t>
  </si>
  <si>
    <t>FY30-31 Q3</t>
  </si>
  <si>
    <t>FY30-31 Q4</t>
  </si>
  <si>
    <t>FY30-31</t>
  </si>
  <si>
    <t>Vehicle Sales Model - Gen 5 Dual Cab Sold</t>
  </si>
  <si>
    <t>Royalty - Gen-5 License Deployment</t>
  </si>
  <si>
    <t>Fleet Management Model - Gen-5 Deployment</t>
  </si>
  <si>
    <t>Updated on 01 Feb 2026</t>
  </si>
  <si>
    <t>Vehicle Sales Model</t>
  </si>
  <si>
    <t>Revenue from Vehicle Sales</t>
  </si>
  <si>
    <t>Total Revenue from Selling Vehicles</t>
  </si>
  <si>
    <t>Cost of Manufacturing Trucks, QA, Delivery &amp; Warranty</t>
  </si>
  <si>
    <t>Total Cost of Goods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</si>
</sst>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$&quot;#,##0;[Red]\-&quot;$&quot;#,##0"/>
    <numFmt numFmtId="165" formatCode="&quot;$&quot;#,##0.00;[Red]\-&quot;$&quot;#,##0.00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-&quot;$&quot;* #,##0_-;\-&quot;$&quot;* #,##0_-;_-&quot;$&quot;* &quot;-&quot;??_-;_-@_-"/>
    <numFmt numFmtId="169" formatCode="0.0%"/>
    <numFmt numFmtId="170" formatCode="#\ ##0"/>
    <numFmt numFmtId="171" formatCode="_-* #,##0_-;\-* #,##0_-;_-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1"/>
      <color theme="9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3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Aptos Narrow"/>
      <family val="2"/>
      <scheme val="minor"/>
    </font>
    <font>
      <b/>
      <sz val="15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5" tint="-0.249977111117893"/>
      <name val="Calibri"/>
      <family val="2"/>
    </font>
    <font>
      <sz val="12"/>
      <color theme="1"/>
      <name val="Aptos Narrow"/>
      <family val="2"/>
      <scheme val="minor"/>
    </font>
    <font>
      <b/>
      <sz val="12"/>
      <color rgb="FFC00000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9" fontId="14" fillId="0" borderId="0" applyFont="0" applyFill="0" applyBorder="0" applyAlignment="0" applyProtection="0"/>
  </cellStyleXfs>
  <cellXfs count="114">
    <xf numFmtId="0" fontId="0" fillId="0" borderId="0" xfId="0"/>
    <xf numFmtId="0" fontId="4" fillId="0" borderId="0" xfId="0" applyFont="1" applyAlignment="1">
      <alignment horizontal="right"/>
    </xf>
    <xf numFmtId="0" fontId="2" fillId="3" borderId="0" xfId="0" applyFont="1" applyFill="1" applyAlignment="1">
      <alignment horizontal="right"/>
    </xf>
    <xf numFmtId="166" fontId="4" fillId="0" borderId="0" xfId="1" applyFont="1" applyAlignment="1">
      <alignment horizontal="right"/>
    </xf>
    <xf numFmtId="0" fontId="5" fillId="2" borderId="0" xfId="0" applyFont="1" applyFill="1" applyAlignment="1">
      <alignment horizontal="right"/>
    </xf>
    <xf numFmtId="0" fontId="6" fillId="0" borderId="0" xfId="0" applyFont="1"/>
    <xf numFmtId="0" fontId="7" fillId="0" borderId="0" xfId="0" applyFont="1"/>
    <xf numFmtId="164" fontId="6" fillId="0" borderId="0" xfId="0" applyNumberFormat="1" applyFont="1"/>
    <xf numFmtId="0" fontId="3" fillId="0" borderId="0" xfId="0" applyFont="1"/>
    <xf numFmtId="164" fontId="3" fillId="0" borderId="0" xfId="0" applyNumberFormat="1" applyFont="1"/>
    <xf numFmtId="0" fontId="3" fillId="0" borderId="2" xfId="0" applyFont="1" applyBorder="1"/>
    <xf numFmtId="164" fontId="3" fillId="0" borderId="3" xfId="0" applyNumberFormat="1" applyFont="1" applyBorder="1"/>
    <xf numFmtId="164" fontId="3" fillId="0" borderId="4" xfId="0" applyNumberFormat="1" applyFont="1" applyBorder="1"/>
    <xf numFmtId="164" fontId="3" fillId="0" borderId="1" xfId="0" applyNumberFormat="1" applyFont="1" applyBorder="1"/>
    <xf numFmtId="164" fontId="3" fillId="0" borderId="2" xfId="0" applyNumberFormat="1" applyFont="1" applyBorder="1"/>
    <xf numFmtId="1" fontId="3" fillId="0" borderId="3" xfId="0" applyNumberFormat="1" applyFont="1" applyBorder="1"/>
    <xf numFmtId="1" fontId="3" fillId="0" borderId="4" xfId="0" applyNumberFormat="1" applyFont="1" applyBorder="1"/>
    <xf numFmtId="1" fontId="6" fillId="0" borderId="0" xfId="0" applyNumberFormat="1" applyFont="1"/>
    <xf numFmtId="1" fontId="3" fillId="0" borderId="1" xfId="0" applyNumberFormat="1" applyFont="1" applyBorder="1"/>
    <xf numFmtId="1" fontId="3" fillId="0" borderId="2" xfId="0" applyNumberFormat="1" applyFont="1" applyBorder="1"/>
    <xf numFmtId="0" fontId="5" fillId="2" borderId="0" xfId="0" applyFont="1" applyFill="1" applyAlignment="1">
      <alignment horizontal="left"/>
    </xf>
    <xf numFmtId="0" fontId="8" fillId="0" borderId="0" xfId="0" applyFont="1"/>
    <xf numFmtId="168" fontId="6" fillId="0" borderId="0" xfId="0" applyNumberFormat="1" applyFont="1"/>
    <xf numFmtId="0" fontId="3" fillId="0" borderId="6" xfId="0" applyFont="1" applyBorder="1"/>
    <xf numFmtId="164" fontId="3" fillId="0" borderId="7" xfId="0" applyNumberFormat="1" applyFont="1" applyBorder="1"/>
    <xf numFmtId="164" fontId="3" fillId="0" borderId="8" xfId="0" applyNumberFormat="1" applyFont="1" applyBorder="1"/>
    <xf numFmtId="164" fontId="3" fillId="0" borderId="5" xfId="0" applyNumberFormat="1" applyFont="1" applyBorder="1"/>
    <xf numFmtId="0" fontId="9" fillId="0" borderId="0" xfId="0" applyFont="1"/>
    <xf numFmtId="9" fontId="9" fillId="0" borderId="0" xfId="2" applyFont="1"/>
    <xf numFmtId="164" fontId="3" fillId="0" borderId="6" xfId="0" applyNumberFormat="1" applyFont="1" applyBorder="1"/>
    <xf numFmtId="9" fontId="9" fillId="4" borderId="0" xfId="0" applyNumberFormat="1" applyFont="1" applyFill="1"/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165" fontId="6" fillId="0" borderId="0" xfId="0" applyNumberFormat="1" applyFont="1"/>
    <xf numFmtId="0" fontId="11" fillId="0" borderId="0" xfId="0" applyFont="1"/>
    <xf numFmtId="166" fontId="4" fillId="0" borderId="0" xfId="1" applyFont="1" applyBorder="1" applyAlignment="1">
      <alignment horizontal="right"/>
    </xf>
    <xf numFmtId="166" fontId="6" fillId="0" borderId="0" xfId="0" applyNumberFormat="1" applyFont="1"/>
    <xf numFmtId="0" fontId="5" fillId="0" borderId="0" xfId="0" applyFont="1"/>
    <xf numFmtId="9" fontId="9" fillId="0" borderId="0" xfId="2" applyFont="1" applyBorder="1"/>
    <xf numFmtId="170" fontId="6" fillId="0" borderId="0" xfId="0" applyNumberFormat="1" applyFont="1" applyAlignment="1">
      <alignment vertical="center"/>
    </xf>
    <xf numFmtId="170" fontId="3" fillId="0" borderId="9" xfId="0" applyNumberFormat="1" applyFont="1" applyBorder="1" applyAlignment="1">
      <alignment vertical="center"/>
    </xf>
    <xf numFmtId="170" fontId="3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 wrapText="1" readingOrder="1"/>
    </xf>
    <xf numFmtId="0" fontId="3" fillId="0" borderId="9" xfId="0" applyFont="1" applyBorder="1" applyAlignment="1">
      <alignment vertical="center"/>
    </xf>
    <xf numFmtId="0" fontId="12" fillId="0" borderId="0" xfId="0" applyFont="1" applyAlignment="1">
      <alignment horizontal="left" vertical="center" readingOrder="1"/>
    </xf>
    <xf numFmtId="0" fontId="3" fillId="0" borderId="6" xfId="0" applyFont="1" applyBorder="1" applyAlignment="1">
      <alignment vertical="center"/>
    </xf>
    <xf numFmtId="164" fontId="3" fillId="0" borderId="9" xfId="0" applyNumberFormat="1" applyFont="1" applyBorder="1"/>
    <xf numFmtId="9" fontId="9" fillId="0" borderId="0" xfId="2" applyFont="1" applyFill="1" applyBorder="1"/>
    <xf numFmtId="168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71" fontId="6" fillId="0" borderId="0" xfId="3" applyNumberFormat="1" applyFont="1" applyAlignment="1">
      <alignment vertical="center"/>
    </xf>
    <xf numFmtId="0" fontId="9" fillId="4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171" fontId="9" fillId="0" borderId="0" xfId="3" applyNumberFormat="1" applyFont="1" applyFill="1" applyAlignment="1">
      <alignment vertical="center"/>
    </xf>
    <xf numFmtId="9" fontId="9" fillId="4" borderId="0" xfId="2" applyFont="1" applyFill="1" applyAlignment="1">
      <alignment vertical="center"/>
    </xf>
    <xf numFmtId="9" fontId="9" fillId="0" borderId="0" xfId="2" applyFont="1" applyAlignment="1">
      <alignment vertical="center"/>
    </xf>
    <xf numFmtId="168" fontId="3" fillId="0" borderId="7" xfId="0" applyNumberFormat="1" applyFont="1" applyBorder="1" applyAlignment="1">
      <alignment vertical="center"/>
    </xf>
    <xf numFmtId="168" fontId="3" fillId="0" borderId="8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8" fontId="3" fillId="0" borderId="5" xfId="0" applyNumberFormat="1" applyFont="1" applyBorder="1" applyAlignment="1">
      <alignment vertical="center"/>
    </xf>
    <xf numFmtId="168" fontId="3" fillId="0" borderId="6" xfId="0" applyNumberFormat="1" applyFont="1" applyBorder="1" applyAlignment="1">
      <alignment vertical="center"/>
    </xf>
    <xf numFmtId="1" fontId="9" fillId="0" borderId="0" xfId="0" applyNumberFormat="1" applyFont="1" applyAlignment="1">
      <alignment vertical="center"/>
    </xf>
    <xf numFmtId="9" fontId="9" fillId="0" borderId="0" xfId="2" applyFont="1" applyFill="1" applyAlignment="1">
      <alignment vertical="center"/>
    </xf>
    <xf numFmtId="168" fontId="3" fillId="0" borderId="3" xfId="0" applyNumberFormat="1" applyFont="1" applyBorder="1" applyAlignment="1">
      <alignment vertical="center"/>
    </xf>
    <xf numFmtId="168" fontId="3" fillId="0" borderId="4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68" fontId="3" fillId="0" borderId="2" xfId="0" applyNumberFormat="1" applyFont="1" applyBorder="1" applyAlignment="1">
      <alignment vertical="center"/>
    </xf>
    <xf numFmtId="168" fontId="3" fillId="0" borderId="1" xfId="0" applyNumberFormat="1" applyFont="1" applyBorder="1" applyAlignment="1">
      <alignment vertical="center"/>
    </xf>
    <xf numFmtId="9" fontId="9" fillId="4" borderId="0" xfId="0" applyNumberFormat="1" applyFont="1" applyFill="1" applyAlignment="1">
      <alignment vertical="center"/>
    </xf>
    <xf numFmtId="0" fontId="13" fillId="0" borderId="0" xfId="0" applyFont="1"/>
    <xf numFmtId="164" fontId="6" fillId="4" borderId="0" xfId="0" applyNumberFormat="1" applyFont="1" applyFill="1"/>
    <xf numFmtId="164" fontId="9" fillId="0" borderId="0" xfId="2" applyNumberFormat="1" applyFont="1" applyBorder="1"/>
    <xf numFmtId="164" fontId="6" fillId="0" borderId="0" xfId="2" applyNumberFormat="1" applyFont="1" applyBorder="1"/>
    <xf numFmtId="164" fontId="3" fillId="0" borderId="0" xfId="2" applyNumberFormat="1" applyFont="1" applyBorder="1"/>
    <xf numFmtId="164" fontId="6" fillId="0" borderId="0" xfId="0" applyNumberFormat="1" applyFont="1" applyAlignment="1">
      <alignment vertical="center"/>
    </xf>
    <xf numFmtId="170" fontId="3" fillId="0" borderId="2" xfId="0" applyNumberFormat="1" applyFont="1" applyBorder="1" applyAlignment="1">
      <alignment vertical="center"/>
    </xf>
    <xf numFmtId="164" fontId="6" fillId="5" borderId="0" xfId="0" applyNumberFormat="1" applyFont="1" applyFill="1"/>
    <xf numFmtId="0" fontId="7" fillId="0" borderId="10" xfId="0" applyFont="1" applyBorder="1"/>
    <xf numFmtId="0" fontId="6" fillId="0" borderId="9" xfId="0" applyFont="1" applyBorder="1"/>
    <xf numFmtId="0" fontId="6" fillId="0" borderId="11" xfId="0" applyFont="1" applyBorder="1"/>
    <xf numFmtId="0" fontId="5" fillId="2" borderId="12" xfId="0" applyFont="1" applyFill="1" applyBorder="1"/>
    <xf numFmtId="0" fontId="5" fillId="2" borderId="0" xfId="0" applyFont="1" applyFill="1"/>
    <xf numFmtId="0" fontId="5" fillId="2" borderId="13" xfId="0" applyFont="1" applyFill="1" applyBorder="1" applyAlignment="1">
      <alignment horizontal="right"/>
    </xf>
    <xf numFmtId="0" fontId="6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5" fillId="2" borderId="13" xfId="0" applyFont="1" applyFill="1" applyBorder="1"/>
    <xf numFmtId="0" fontId="6" fillId="0" borderId="13" xfId="0" applyFont="1" applyBorder="1"/>
    <xf numFmtId="0" fontId="6" fillId="0" borderId="16" xfId="0" applyFont="1" applyBorder="1"/>
    <xf numFmtId="0" fontId="3" fillId="0" borderId="15" xfId="0" applyFont="1" applyBorder="1"/>
    <xf numFmtId="0" fontId="6" fillId="4" borderId="0" xfId="0" applyFont="1" applyFill="1"/>
    <xf numFmtId="164" fontId="6" fillId="4" borderId="13" xfId="0" applyNumberFormat="1" applyFont="1" applyFill="1" applyBorder="1"/>
    <xf numFmtId="0" fontId="9" fillId="0" borderId="12" xfId="0" applyFont="1" applyBorder="1"/>
    <xf numFmtId="9" fontId="9" fillId="4" borderId="13" xfId="0" applyNumberFormat="1" applyFont="1" applyFill="1" applyBorder="1"/>
    <xf numFmtId="168" fontId="6" fillId="0" borderId="13" xfId="0" applyNumberFormat="1" applyFont="1" applyBorder="1"/>
    <xf numFmtId="0" fontId="9" fillId="0" borderId="14" xfId="0" applyFont="1" applyBorder="1"/>
    <xf numFmtId="0" fontId="9" fillId="0" borderId="15" xfId="0" applyFont="1" applyBorder="1"/>
    <xf numFmtId="9" fontId="9" fillId="4" borderId="16" xfId="0" applyNumberFormat="1" applyFont="1" applyFill="1" applyBorder="1"/>
    <xf numFmtId="0" fontId="16" fillId="0" borderId="10" xfId="4" applyFont="1" applyBorder="1"/>
    <xf numFmtId="169" fontId="17" fillId="6" borderId="11" xfId="5" applyNumberFormat="1" applyFont="1" applyFill="1" applyBorder="1"/>
    <xf numFmtId="0" fontId="16" fillId="0" borderId="14" xfId="4" applyFont="1" applyBorder="1"/>
    <xf numFmtId="9" fontId="17" fillId="6" borderId="16" xfId="5" applyFont="1" applyFill="1" applyBorder="1"/>
    <xf numFmtId="168" fontId="3" fillId="0" borderId="7" xfId="0" applyNumberFormat="1" applyFont="1" applyBorder="1"/>
    <xf numFmtId="168" fontId="3" fillId="0" borderId="8" xfId="0" applyNumberFormat="1" applyFont="1" applyBorder="1"/>
    <xf numFmtId="168" fontId="3" fillId="0" borderId="0" xfId="0" applyNumberFormat="1" applyFont="1"/>
    <xf numFmtId="166" fontId="6" fillId="0" borderId="0" xfId="1" applyFont="1"/>
    <xf numFmtId="0" fontId="3" fillId="0" borderId="17" xfId="0" applyFont="1" applyBorder="1"/>
    <xf numFmtId="168" fontId="3" fillId="0" borderId="17" xfId="0" applyNumberFormat="1" applyFont="1" applyBorder="1"/>
    <xf numFmtId="0" fontId="15" fillId="0" borderId="10" xfId="4" applyFont="1" applyBorder="1"/>
    <xf numFmtId="0" fontId="16" fillId="0" borderId="11" xfId="4" applyFont="1" applyBorder="1"/>
    <xf numFmtId="0" fontId="6" fillId="7" borderId="13" xfId="0" applyFont="1" applyFill="1" applyBorder="1"/>
    <xf numFmtId="10" fontId="9" fillId="4" borderId="0" xfId="0" applyNumberFormat="1" applyFont="1" applyFill="1"/>
    <xf numFmtId="10" fontId="6" fillId="0" borderId="0" xfId="0" applyNumberFormat="1" applyFont="1"/>
    <xf numFmtId="10" fontId="9" fillId="0" borderId="0" xfId="2" applyNumberFormat="1" applyFont="1"/>
  </cellXfs>
  <cellStyles count="6">
    <cellStyle name="Comma" xfId="3" builtinId="3"/>
    <cellStyle name="Currency" xfId="1" builtinId="4"/>
    <cellStyle name="Normal" xfId="0" builtinId="0"/>
    <cellStyle name="Normal 2" xfId="4" xr:uid="{DD4D9525-F697-492D-B24B-87306054DB95}"/>
    <cellStyle name="Per cent" xfId="2" builtinId="5"/>
    <cellStyle name="Percent 2" xfId="5" xr:uid="{34D2E4BB-BB0F-4A19-B7A3-FFC78994F0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14941</xdr:colOff>
      <xdr:row>2</xdr:row>
      <xdr:rowOff>59766</xdr:rowOff>
    </xdr:from>
    <xdr:to>
      <xdr:col>1</xdr:col>
      <xdr:colOff>1867646</xdr:colOff>
      <xdr:row>5</xdr:row>
      <xdr:rowOff>121479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05C866F-C7C8-2C20-8E0D-8F46FD6ABC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86" t="21602" r="6286" b="20791"/>
        <a:stretch>
          <a:fillRect/>
        </a:stretch>
      </xdr:blipFill>
      <xdr:spPr>
        <a:xfrm>
          <a:off x="672353" y="508001"/>
          <a:ext cx="1852705" cy="6444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478119</xdr:colOff>
      <xdr:row>2</xdr:row>
      <xdr:rowOff>89648</xdr:rowOff>
    </xdr:from>
    <xdr:to>
      <xdr:col>1</xdr:col>
      <xdr:colOff>1284942</xdr:colOff>
      <xdr:row>4</xdr:row>
      <xdr:rowOff>153310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640608-61EF-A849-8CF2-4CCAA51C93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86" t="21602" r="6286" b="20791"/>
        <a:stretch>
          <a:fillRect/>
        </a:stretch>
      </xdr:blipFill>
      <xdr:spPr>
        <a:xfrm>
          <a:off x="478119" y="537883"/>
          <a:ext cx="1299882" cy="4521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29882</xdr:colOff>
      <xdr:row>2</xdr:row>
      <xdr:rowOff>74706</xdr:rowOff>
    </xdr:from>
    <xdr:to>
      <xdr:col>1</xdr:col>
      <xdr:colOff>1329764</xdr:colOff>
      <xdr:row>4</xdr:row>
      <xdr:rowOff>138368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1EB21EB-9984-544E-979E-C5DA004F60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86" t="21602" r="6286" b="20791"/>
        <a:stretch>
          <a:fillRect/>
        </a:stretch>
      </xdr:blipFill>
      <xdr:spPr>
        <a:xfrm>
          <a:off x="268941" y="522941"/>
          <a:ext cx="1299882" cy="4521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74706</xdr:rowOff>
    </xdr:from>
    <xdr:to>
      <xdr:col>1</xdr:col>
      <xdr:colOff>1299882</xdr:colOff>
      <xdr:row>4</xdr:row>
      <xdr:rowOff>138368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7CC30A-2D7B-EB4C-AD68-244157BB66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86" t="21602" r="6286" b="20791"/>
        <a:stretch>
          <a:fillRect/>
        </a:stretch>
      </xdr:blipFill>
      <xdr:spPr>
        <a:xfrm>
          <a:off x="343647" y="522941"/>
          <a:ext cx="1299882" cy="4521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14941</xdr:colOff>
      <xdr:row>2</xdr:row>
      <xdr:rowOff>119529</xdr:rowOff>
    </xdr:from>
    <xdr:to>
      <xdr:col>1</xdr:col>
      <xdr:colOff>1314823</xdr:colOff>
      <xdr:row>4</xdr:row>
      <xdr:rowOff>183191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864AF4-26EC-2146-9889-5C65E2D4E3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86" t="21602" r="6286" b="20791"/>
        <a:stretch>
          <a:fillRect/>
        </a:stretch>
      </xdr:blipFill>
      <xdr:spPr>
        <a:xfrm>
          <a:off x="672353" y="567764"/>
          <a:ext cx="1299882" cy="4521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627530</xdr:colOff>
      <xdr:row>3</xdr:row>
      <xdr:rowOff>0</xdr:rowOff>
    </xdr:from>
    <xdr:to>
      <xdr:col>1</xdr:col>
      <xdr:colOff>1270000</xdr:colOff>
      <xdr:row>5</xdr:row>
      <xdr:rowOff>63663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7F40F8-F334-4F46-9FC6-E567061DD3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86" t="21602" r="6286" b="20791"/>
        <a:stretch>
          <a:fillRect/>
        </a:stretch>
      </xdr:blipFill>
      <xdr:spPr>
        <a:xfrm>
          <a:off x="627530" y="642471"/>
          <a:ext cx="1299882" cy="45213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29882</xdr:colOff>
      <xdr:row>2</xdr:row>
      <xdr:rowOff>74706</xdr:rowOff>
    </xdr:from>
    <xdr:to>
      <xdr:col>1</xdr:col>
      <xdr:colOff>1329764</xdr:colOff>
      <xdr:row>4</xdr:row>
      <xdr:rowOff>138368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E3573E-B833-AF4D-9BFB-2BB959BFA8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86" t="21602" r="6286" b="20791"/>
        <a:stretch>
          <a:fillRect/>
        </a:stretch>
      </xdr:blipFill>
      <xdr:spPr>
        <a:xfrm>
          <a:off x="268941" y="522941"/>
          <a:ext cx="1299882" cy="4521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14941</xdr:colOff>
      <xdr:row>2</xdr:row>
      <xdr:rowOff>104588</xdr:rowOff>
    </xdr:from>
    <xdr:to>
      <xdr:col>1</xdr:col>
      <xdr:colOff>1314823</xdr:colOff>
      <xdr:row>4</xdr:row>
      <xdr:rowOff>168250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8CF2BBC-62CE-2E4E-9232-BCB224A950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86" t="21602" r="6286" b="20791"/>
        <a:stretch>
          <a:fillRect/>
        </a:stretch>
      </xdr:blipFill>
      <xdr:spPr>
        <a:xfrm>
          <a:off x="254000" y="552823"/>
          <a:ext cx="1299882" cy="45213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224117</xdr:colOff>
      <xdr:row>2</xdr:row>
      <xdr:rowOff>89647</xdr:rowOff>
    </xdr:from>
    <xdr:to>
      <xdr:col>1</xdr:col>
      <xdr:colOff>1284940</xdr:colOff>
      <xdr:row>4</xdr:row>
      <xdr:rowOff>153309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AE202E-14F3-1246-82E2-33A6F31796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86" t="21602" r="6286" b="20791"/>
        <a:stretch>
          <a:fillRect/>
        </a:stretch>
      </xdr:blipFill>
      <xdr:spPr>
        <a:xfrm>
          <a:off x="224117" y="537882"/>
          <a:ext cx="1299882" cy="4521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3509D-5ADF-4105-99EE-A1A50B94C6CF}">
  <sheetPr>
    <tabColor rgb="FF00B050"/>
  </sheetPr>
  <dimension ref="A1"/>
  <sheetViews>
    <sheetView showGridLines="0" workbookViewId="0">
      <selection activeCell="X52" sqref="X52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F3E82-D1C1-4972-B958-9887EF8892FA}">
  <sheetPr>
    <tabColor rgb="FF00B0F0"/>
  </sheetPr>
  <dimension ref="A1:AJ39"/>
  <sheetViews>
    <sheetView showGridLines="0" tabSelected="1" zoomScale="85" zoomScaleNormal="85" workbookViewId="0">
      <pane xSplit="2" ySplit="6" topLeftCell="C7" activePane="bottomRight" state="frozen"/>
      <selection activeCell="H9" sqref="H9"/>
      <selection pane="topRight" activeCell="H9" sqref="H9"/>
      <selection pane="bottomLeft" activeCell="H9" sqref="H9"/>
      <selection pane="bottomRight" activeCell="J43" sqref="J43"/>
    </sheetView>
  </sheetViews>
  <sheetFormatPr baseColWidth="10" defaultColWidth="3.1640625" defaultRowHeight="15" x14ac:dyDescent="0.2"/>
  <cols>
    <col min="2" max="2" width="41.5" style="5" bestFit="1" customWidth="1"/>
    <col min="3" max="3" width="10.83203125" style="5" bestFit="1" customWidth="1"/>
    <col min="4" max="6" width="11.1640625" style="5" bestFit="1" customWidth="1"/>
    <col min="7" max="7" width="3.1640625" style="5"/>
    <col min="8" max="8" width="11.1640625" style="5" bestFit="1" customWidth="1"/>
    <col min="9" max="9" width="3.1640625" style="5"/>
    <col min="10" max="10" width="11.1640625" style="5" customWidth="1"/>
    <col min="11" max="13" width="11.1640625" style="5" bestFit="1" customWidth="1"/>
    <col min="14" max="14" width="3.1640625" style="5"/>
    <col min="15" max="15" width="12.33203125" style="5" bestFit="1" customWidth="1"/>
    <col min="16" max="16" width="3.1640625" style="5"/>
    <col min="17" max="20" width="11.1640625" style="5" bestFit="1" customWidth="1"/>
    <col min="21" max="21" width="3.1640625" style="5"/>
    <col min="22" max="22" width="12.33203125" style="5" bestFit="1" customWidth="1"/>
    <col min="23" max="23" width="3.1640625" style="5"/>
    <col min="24" max="27" width="11.1640625" style="5" bestFit="1" customWidth="1"/>
    <col min="28" max="28" width="3.1640625" style="5"/>
    <col min="29" max="29" width="12.33203125" style="5" bestFit="1" customWidth="1"/>
    <col min="30" max="30" width="3.1640625" style="5"/>
    <col min="31" max="34" width="11.1640625" style="5" bestFit="1" customWidth="1"/>
    <col min="35" max="35" width="3.1640625" style="5"/>
    <col min="36" max="36" width="12.33203125" style="5" bestFit="1" customWidth="1"/>
    <col min="37" max="48" width="3.1640625" style="5"/>
    <col min="49" max="49" width="3.1640625" style="5" customWidth="1"/>
    <col min="50" max="16384" width="3.1640625" style="5"/>
  </cols>
  <sheetData>
    <row r="1" spans="2:36" ht="20" x14ac:dyDescent="0.25">
      <c r="B1" s="34" t="s">
        <v>159</v>
      </c>
    </row>
    <row r="2" spans="2:36" x14ac:dyDescent="0.2">
      <c r="B2" s="8" t="str">
        <f>'Assumption Sheet'!B2</f>
        <v>Updated on 01 Feb 2026</v>
      </c>
    </row>
    <row r="6" spans="2:36" x14ac:dyDescent="0.2">
      <c r="B6" s="20" t="s">
        <v>0</v>
      </c>
      <c r="C6" s="4" t="str">
        <f>'P&amp;L Assumption Sheet'!C6</f>
        <v>FY26-27 Q1</v>
      </c>
      <c r="D6" s="4" t="str">
        <f>'P&amp;L Assumption Sheet'!D6</f>
        <v>FY26-27 Q2</v>
      </c>
      <c r="E6" s="4" t="str">
        <f>'P&amp;L Assumption Sheet'!E6</f>
        <v>FY26-27 Q3</v>
      </c>
      <c r="F6" s="4" t="str">
        <f>'P&amp;L Assumption Sheet'!F6</f>
        <v>FY26-27 Q4</v>
      </c>
      <c r="G6" s="1"/>
      <c r="H6" s="2" t="str">
        <f>'P&amp;L Assumption Sheet'!H6</f>
        <v>FY26-27</v>
      </c>
      <c r="I6" s="1"/>
      <c r="J6" s="4" t="str">
        <f>'P&amp;L Assumption Sheet'!J6</f>
        <v>FY27-28 Q1</v>
      </c>
      <c r="K6" s="4" t="str">
        <f>'P&amp;L Assumption Sheet'!K6</f>
        <v>FY27-28 Q2</v>
      </c>
      <c r="L6" s="4" t="str">
        <f>'P&amp;L Assumption Sheet'!L6</f>
        <v>FY27-28 Q3</v>
      </c>
      <c r="M6" s="4" t="str">
        <f>'P&amp;L Assumption Sheet'!M6</f>
        <v>FY27-28 Q4</v>
      </c>
      <c r="N6" s="1"/>
      <c r="O6" s="2" t="str">
        <f>'P&amp;L Assumption Sheet'!O6</f>
        <v>FY27-28</v>
      </c>
      <c r="P6" s="1"/>
      <c r="Q6" s="4" t="str">
        <f>'P&amp;L Assumption Sheet'!Q6</f>
        <v>FY28-29 Q1</v>
      </c>
      <c r="R6" s="4" t="str">
        <f>'P&amp;L Assumption Sheet'!R6</f>
        <v>FY28-29 Q2</v>
      </c>
      <c r="S6" s="4" t="str">
        <f>'P&amp;L Assumption Sheet'!S6</f>
        <v>FY28-29 Q3</v>
      </c>
      <c r="T6" s="4" t="str">
        <f>'P&amp;L Assumption Sheet'!T6</f>
        <v>FY28-29 Q4</v>
      </c>
      <c r="U6" s="1"/>
      <c r="V6" s="2" t="str">
        <f>'P&amp;L Assumption Sheet'!V6</f>
        <v>FY28-29</v>
      </c>
      <c r="W6" s="1"/>
      <c r="X6" s="4" t="str">
        <f>'P&amp;L Assumption Sheet'!X6</f>
        <v>FY29-30 Q1</v>
      </c>
      <c r="Y6" s="4" t="str">
        <f>'P&amp;L Assumption Sheet'!Y6</f>
        <v>FY29-30 Q2</v>
      </c>
      <c r="Z6" s="4" t="str">
        <f>'P&amp;L Assumption Sheet'!Z6</f>
        <v>FY29-30 Q3</v>
      </c>
      <c r="AA6" s="4" t="str">
        <f>'P&amp;L Assumption Sheet'!AA6</f>
        <v>FY29-30 Q4</v>
      </c>
      <c r="AB6" s="3"/>
      <c r="AC6" s="2" t="str">
        <f>'P&amp;L Assumption Sheet'!AC6</f>
        <v>FY29-30</v>
      </c>
      <c r="AD6" s="1"/>
      <c r="AE6" s="4" t="str">
        <f>'P&amp;L Assumption Sheet'!AE6</f>
        <v>FY30-31 Q1</v>
      </c>
      <c r="AF6" s="4" t="str">
        <f>'P&amp;L Assumption Sheet'!AF6</f>
        <v>FY30-31 Q2</v>
      </c>
      <c r="AG6" s="4" t="str">
        <f>'P&amp;L Assumption Sheet'!AG6</f>
        <v>FY30-31 Q3</v>
      </c>
      <c r="AH6" s="4" t="str">
        <f>'P&amp;L Assumption Sheet'!AH6</f>
        <v>FY30-31 Q4</v>
      </c>
      <c r="AI6" s="1"/>
      <c r="AJ6" s="2" t="str">
        <f>'P&amp;L Assumption Sheet'!AJ6</f>
        <v>FY30-31</v>
      </c>
    </row>
    <row r="7" spans="2:36" x14ac:dyDescent="0.2">
      <c r="B7" s="39" t="s">
        <v>64</v>
      </c>
      <c r="C7" s="7">
        <f>'Income Statement'!C30</f>
        <v>3500</v>
      </c>
      <c r="D7" s="7">
        <f>'Income Statement'!D30</f>
        <v>3500</v>
      </c>
      <c r="E7" s="7">
        <f>'Income Statement'!E30</f>
        <v>28000</v>
      </c>
      <c r="F7" s="7">
        <f>'Income Statement'!F30</f>
        <v>7000</v>
      </c>
      <c r="H7" s="7">
        <f>SUM(C7:F7)</f>
        <v>42000</v>
      </c>
      <c r="J7" s="7">
        <f>'Income Statement'!J30</f>
        <v>197487.5</v>
      </c>
      <c r="K7" s="7">
        <f>'Income Statement'!K30</f>
        <v>581000</v>
      </c>
      <c r="L7" s="7">
        <f>'Income Statement'!L30</f>
        <v>1276100</v>
      </c>
      <c r="M7" s="7">
        <f>'Income Statement'!M30</f>
        <v>1437800</v>
      </c>
      <c r="O7" s="7">
        <f>SUM(J7:M7)</f>
        <v>3492387.5</v>
      </c>
      <c r="Q7" s="7">
        <f>'Income Statement'!Q30</f>
        <v>2463889.75</v>
      </c>
      <c r="R7" s="7">
        <f>'Income Statement'!R30</f>
        <v>2636872</v>
      </c>
      <c r="S7" s="7">
        <f>'Income Statement'!S30</f>
        <v>2896345.375</v>
      </c>
      <c r="T7" s="7">
        <f>'Income Statement'!T30</f>
        <v>3155818.75</v>
      </c>
      <c r="V7" s="7">
        <f>SUM(Q7:T7)</f>
        <v>11152925.875</v>
      </c>
      <c r="X7" s="7">
        <f>'Income Statement'!X30</f>
        <v>4406338.8250000002</v>
      </c>
      <c r="Y7" s="7">
        <f>'Income Statement'!Y30</f>
        <v>6533822.0499999998</v>
      </c>
      <c r="Z7" s="7">
        <f>'Income Statement'!Z30</f>
        <v>6914449.1500000004</v>
      </c>
      <c r="AA7" s="7">
        <f>'Income Statement'!AA30</f>
        <v>7390233.0250000004</v>
      </c>
      <c r="AC7" s="7">
        <f>SUM(X7:AA7)</f>
        <v>25244843.049999997</v>
      </c>
      <c r="AE7" s="7">
        <f>'Income Statement'!AE30</f>
        <v>8545799.7012499999</v>
      </c>
      <c r="AF7" s="7">
        <f>'Income Statement'!AF30</f>
        <v>9048411.5356249996</v>
      </c>
      <c r="AG7" s="7">
        <f>'Income Statement'!AG30</f>
        <v>9621522.7324999999</v>
      </c>
      <c r="AH7" s="7">
        <f>'Income Statement'!AH30</f>
        <v>10127173.3325</v>
      </c>
      <c r="AJ7" s="7">
        <f>SUM(AE7:AH7)</f>
        <v>37342907.301874995</v>
      </c>
    </row>
    <row r="8" spans="2:36" x14ac:dyDescent="0.2">
      <c r="B8" s="39" t="s">
        <v>96</v>
      </c>
      <c r="C8" s="7">
        <f>'Income Statement'!C37</f>
        <v>0</v>
      </c>
      <c r="D8" s="7">
        <f>'Income Statement'!D37</f>
        <v>0</v>
      </c>
      <c r="E8" s="7">
        <f>'Income Statement'!E37</f>
        <v>0</v>
      </c>
      <c r="F8" s="7">
        <f>'Income Statement'!F37</f>
        <v>0</v>
      </c>
      <c r="H8" s="7">
        <f>SUM(C8:F8)</f>
        <v>0</v>
      </c>
      <c r="J8" s="7">
        <f>'Income Statement'!J37</f>
        <v>0</v>
      </c>
      <c r="K8" s="7">
        <f>'Income Statement'!K37</f>
        <v>0</v>
      </c>
      <c r="L8" s="7">
        <f>'Income Statement'!L37</f>
        <v>0</v>
      </c>
      <c r="M8" s="7">
        <f>'Income Statement'!M37</f>
        <v>0</v>
      </c>
      <c r="O8" s="7">
        <f>SUM(J8:M8)</f>
        <v>0</v>
      </c>
      <c r="Q8" s="7">
        <f>'Income Statement'!Q37</f>
        <v>0</v>
      </c>
      <c r="R8" s="7">
        <f>'Income Statement'!R37</f>
        <v>0</v>
      </c>
      <c r="S8" s="7">
        <f>'Income Statement'!S37</f>
        <v>0</v>
      </c>
      <c r="T8" s="7">
        <f>'Income Statement'!T37</f>
        <v>0</v>
      </c>
      <c r="V8" s="7">
        <f>SUM(Q8:T8)</f>
        <v>0</v>
      </c>
      <c r="X8" s="7">
        <f>'Income Statement'!X37</f>
        <v>0</v>
      </c>
      <c r="Y8" s="7">
        <f>'Income Statement'!Y37</f>
        <v>0</v>
      </c>
      <c r="Z8" s="7">
        <f>'Income Statement'!Z37</f>
        <v>0</v>
      </c>
      <c r="AA8" s="7">
        <f>'Income Statement'!AA37</f>
        <v>0</v>
      </c>
      <c r="AC8" s="7">
        <f>SUM(X8:AA8)</f>
        <v>0</v>
      </c>
      <c r="AE8" s="7">
        <f>'Income Statement'!AE37</f>
        <v>0</v>
      </c>
      <c r="AF8" s="7">
        <f>'Income Statement'!AF37</f>
        <v>0</v>
      </c>
      <c r="AG8" s="7">
        <f>'Income Statement'!AG37</f>
        <v>0</v>
      </c>
      <c r="AH8" s="7">
        <f>'Income Statement'!AH37</f>
        <v>0</v>
      </c>
      <c r="AJ8" s="7">
        <f>SUM(AE8:AH8)</f>
        <v>0</v>
      </c>
    </row>
    <row r="9" spans="2:36" x14ac:dyDescent="0.2">
      <c r="B9" s="39" t="s">
        <v>97</v>
      </c>
      <c r="C9" s="7">
        <f>'Income Statement'!C42</f>
        <v>875</v>
      </c>
      <c r="D9" s="7">
        <f>'Income Statement'!D42</f>
        <v>875</v>
      </c>
      <c r="E9" s="7">
        <f>'Income Statement'!E42</f>
        <v>7000</v>
      </c>
      <c r="F9" s="7">
        <f>'Income Statement'!F42</f>
        <v>1750</v>
      </c>
      <c r="G9" s="8"/>
      <c r="H9" s="7">
        <f>SUM(C9:F9)</f>
        <v>10500</v>
      </c>
      <c r="I9" s="8"/>
      <c r="J9" s="7">
        <f>'Income Statement'!J42</f>
        <v>37145.027432075134</v>
      </c>
      <c r="K9" s="7">
        <f>'Income Statement'!K42</f>
        <v>121062.94328908967</v>
      </c>
      <c r="L9" s="7">
        <f>'Income Statement'!L42</f>
        <v>283138.34668055153</v>
      </c>
      <c r="M9" s="7">
        <f>'Income Statement'!M42</f>
        <v>299891.62929925782</v>
      </c>
      <c r="N9" s="8"/>
      <c r="O9" s="7">
        <f>SUM(J9:M9)</f>
        <v>741237.94670097413</v>
      </c>
      <c r="P9" s="8"/>
      <c r="Q9" s="7">
        <f>'Income Statement'!Q42</f>
        <v>534480.65047513845</v>
      </c>
      <c r="R9" s="7">
        <f>'Income Statement'!R42</f>
        <v>556270.1078670444</v>
      </c>
      <c r="S9" s="7">
        <f>'Income Statement'!S42</f>
        <v>588533.38442951499</v>
      </c>
      <c r="T9" s="7">
        <f>'Income Statement'!T42</f>
        <v>621505.99260383076</v>
      </c>
      <c r="U9" s="8"/>
      <c r="V9" s="7">
        <f>SUM(Q9:T9)</f>
        <v>2300790.1353755286</v>
      </c>
      <c r="W9" s="8"/>
      <c r="X9" s="7">
        <f>'Income Statement'!X42</f>
        <v>904675.93473509105</v>
      </c>
      <c r="Y9" s="7">
        <f>'Income Statement'!Y42</f>
        <v>1396691.6447180961</v>
      </c>
      <c r="Z9" s="7">
        <f>'Income Statement'!Z42</f>
        <v>1452859.2693705077</v>
      </c>
      <c r="AA9" s="7">
        <f>'Income Statement'!AA42</f>
        <v>1522627.7939661166</v>
      </c>
      <c r="AB9" s="8"/>
      <c r="AC9" s="7">
        <f>SUM(X9:AA9)</f>
        <v>5276854.6427898109</v>
      </c>
      <c r="AD9" s="8"/>
      <c r="AE9" s="7">
        <f>'Income Statement'!AE42</f>
        <v>1766168.7215337553</v>
      </c>
      <c r="AF9" s="7">
        <f>'Income Statement'!AF42</f>
        <v>1847454.7449538996</v>
      </c>
      <c r="AG9" s="7">
        <f>'Income Statement'!AG42</f>
        <v>1947327.2792844244</v>
      </c>
      <c r="AH9" s="7">
        <f>'Income Statement'!AH42</f>
        <v>2031274.7117212298</v>
      </c>
      <c r="AI9" s="8"/>
      <c r="AJ9" s="7">
        <f>SUM(AE9:AH9)</f>
        <v>7592225.4574933089</v>
      </c>
    </row>
    <row r="10" spans="2:36" x14ac:dyDescent="0.2">
      <c r="B10" s="40" t="s">
        <v>98</v>
      </c>
      <c r="C10" s="46">
        <f>C7+C8-C9</f>
        <v>2625</v>
      </c>
      <c r="D10" s="46">
        <f t="shared" ref="D10:H10" si="0">D7+D8-D9</f>
        <v>2625</v>
      </c>
      <c r="E10" s="46">
        <f t="shared" si="0"/>
        <v>21000</v>
      </c>
      <c r="F10" s="46">
        <f t="shared" si="0"/>
        <v>5250</v>
      </c>
      <c r="H10" s="46">
        <f t="shared" si="0"/>
        <v>31500</v>
      </c>
      <c r="J10" s="46">
        <f>J7+J8-J9</f>
        <v>160342.47256792488</v>
      </c>
      <c r="K10" s="46">
        <f t="shared" ref="K10" si="1">K7+K8-K9</f>
        <v>459937.05671091034</v>
      </c>
      <c r="L10" s="46">
        <f t="shared" ref="L10" si="2">L7+L8-L9</f>
        <v>992961.65331944847</v>
      </c>
      <c r="M10" s="46">
        <f t="shared" ref="M10" si="3">M7+M8-M9</f>
        <v>1137908.3707007421</v>
      </c>
      <c r="O10" s="46">
        <f t="shared" ref="O10" si="4">O7+O8-O9</f>
        <v>2751149.5532990256</v>
      </c>
      <c r="Q10" s="46">
        <f>Q7+Q8-Q9</f>
        <v>1929409.0995248617</v>
      </c>
      <c r="R10" s="46">
        <f t="shared" ref="R10" si="5">R7+R8-R9</f>
        <v>2080601.8921329556</v>
      </c>
      <c r="S10" s="46">
        <f t="shared" ref="S10" si="6">S7+S8-S9</f>
        <v>2307811.9905704851</v>
      </c>
      <c r="T10" s="46">
        <f t="shared" ref="T10" si="7">T7+T8-T9</f>
        <v>2534312.757396169</v>
      </c>
      <c r="V10" s="46">
        <f t="shared" ref="V10" si="8">V7+V8-V9</f>
        <v>8852135.7396244705</v>
      </c>
      <c r="X10" s="46">
        <f>X7+X8-X9</f>
        <v>3501662.8902649092</v>
      </c>
      <c r="Y10" s="46">
        <f t="shared" ref="Y10" si="9">Y7+Y8-Y9</f>
        <v>5137130.4052819032</v>
      </c>
      <c r="Z10" s="46">
        <f t="shared" ref="Z10" si="10">Z7+Z8-Z9</f>
        <v>5461589.8806294929</v>
      </c>
      <c r="AA10" s="46">
        <f t="shared" ref="AA10" si="11">AA7+AA8-AA9</f>
        <v>5867605.231033884</v>
      </c>
      <c r="AC10" s="46">
        <f t="shared" ref="AC10" si="12">AC7+AC8-AC9</f>
        <v>19967988.407210186</v>
      </c>
      <c r="AE10" s="46">
        <f>AE7+AE8-AE9</f>
        <v>6779630.9797162451</v>
      </c>
      <c r="AF10" s="46">
        <f t="shared" ref="AF10" si="13">AF7+AF8-AF9</f>
        <v>7200956.7906710999</v>
      </c>
      <c r="AG10" s="46">
        <f t="shared" ref="AG10" si="14">AG7+AG8-AG9</f>
        <v>7674195.4532155758</v>
      </c>
      <c r="AH10" s="46">
        <f t="shared" ref="AH10" si="15">AH7+AH8-AH9</f>
        <v>8095898.6207787693</v>
      </c>
      <c r="AJ10" s="46">
        <f t="shared" ref="AJ10" si="16">AJ7+AJ8-AJ9</f>
        <v>29750681.844381686</v>
      </c>
    </row>
    <row r="11" spans="2:36" x14ac:dyDescent="0.2">
      <c r="B11" s="41" t="s">
        <v>99</v>
      </c>
    </row>
    <row r="12" spans="2:36" ht="16" x14ac:dyDescent="0.2">
      <c r="B12" s="42" t="s">
        <v>100</v>
      </c>
      <c r="C12" s="7">
        <f>'Balance Sheet'!C27</f>
        <v>32044.444444444445</v>
      </c>
      <c r="D12" s="7">
        <f>'Balance Sheet'!D27-'Balance Sheet'!C27</f>
        <v>0</v>
      </c>
      <c r="E12" s="7">
        <f>'Balance Sheet'!E27-'Balance Sheet'!D27</f>
        <v>25044.444444444445</v>
      </c>
      <c r="F12" s="7">
        <f>'Balance Sheet'!F27-'Balance Sheet'!E27</f>
        <v>7000</v>
      </c>
      <c r="H12" s="7">
        <f>'Balance Sheet'!H27</f>
        <v>64088.888888888891</v>
      </c>
      <c r="J12" s="7">
        <f>'Balance Sheet'!J27-'Balance Sheet'!F27</f>
        <v>121168.05555555555</v>
      </c>
      <c r="K12" s="7">
        <f>'Balance Sheet'!K27-'Balance Sheet'!J27</f>
        <v>29662.5</v>
      </c>
      <c r="L12" s="7">
        <f>'Balance Sheet'!L27-'Balance Sheet'!K27</f>
        <v>48300</v>
      </c>
      <c r="M12" s="7">
        <f>'Balance Sheet'!M27-'Balance Sheet'!L27</f>
        <v>16100</v>
      </c>
      <c r="O12" s="7">
        <f>'Balance Sheet'!O27-'Balance Sheet'!H27</f>
        <v>215230.55555555556</v>
      </c>
      <c r="Q12" s="7">
        <f>'Balance Sheet'!Q27-'Balance Sheet'!M27</f>
        <v>66290.77777777781</v>
      </c>
      <c r="R12" s="7">
        <f>'Balance Sheet'!R27-'Balance Sheet'!Q27</f>
        <v>15839.25</v>
      </c>
      <c r="S12" s="7">
        <f>'Balance Sheet'!S27-'Balance Sheet'!R27</f>
        <v>23758.875</v>
      </c>
      <c r="T12" s="7">
        <f>'Balance Sheet'!T27-'Balance Sheet'!S27</f>
        <v>23758.875</v>
      </c>
      <c r="V12" s="7">
        <f>'Balance Sheet'!V27-'Balance Sheet'!O27</f>
        <v>129647.77777777781</v>
      </c>
      <c r="X12" s="7">
        <f>'Balance Sheet'!X27-'Balance Sheet'!T27</f>
        <v>127144.84999999998</v>
      </c>
      <c r="Y12" s="7">
        <f>'Balance Sheet'!Y27-'Balance Sheet'!X27</f>
        <v>120470.17500000005</v>
      </c>
      <c r="Z12" s="7">
        <f>'Balance Sheet'!Z27-'Balance Sheet'!Y27</f>
        <v>27474.29999999993</v>
      </c>
      <c r="AA12" s="7">
        <f>'Balance Sheet'!AA27-'Balance Sheet'!Z27</f>
        <v>34342.875</v>
      </c>
      <c r="AC12" s="7">
        <f>'Balance Sheet'!AC27-'Balance Sheet'!V27</f>
        <v>309432.19999999995</v>
      </c>
      <c r="AE12" s="7">
        <f>'Balance Sheet'!AE27-'Balance Sheet'!AA27</f>
        <v>48038.711388888769</v>
      </c>
      <c r="AF12" s="7">
        <f>'Balance Sheet'!AF27-'Balance Sheet'!AE27</f>
        <v>35047.096875000163</v>
      </c>
      <c r="AG12" s="7">
        <f>'Balance Sheet'!AG27-'Balance Sheet'!AF27</f>
        <v>11547.30937500007</v>
      </c>
      <c r="AH12" s="7">
        <f>'Balance Sheet'!AH27-'Balance Sheet'!AG27</f>
        <v>34034.17499999993</v>
      </c>
      <c r="AJ12" s="7">
        <f>'Balance Sheet'!AJ27-'Balance Sheet'!AC27</f>
        <v>128667.29263888893</v>
      </c>
    </row>
    <row r="13" spans="2:36" ht="16" x14ac:dyDescent="0.2">
      <c r="B13" s="42" t="s">
        <v>101</v>
      </c>
      <c r="C13" s="7">
        <f>'Balance Sheet'!C28</f>
        <v>437.5</v>
      </c>
      <c r="D13" s="7">
        <f>'Balance Sheet'!D28-'Balance Sheet'!C28</f>
        <v>0</v>
      </c>
      <c r="E13" s="7">
        <f>'Balance Sheet'!E28-'Balance Sheet'!D28</f>
        <v>3062.5</v>
      </c>
      <c r="F13" s="7">
        <f>'Balance Sheet'!F28-'Balance Sheet'!E28</f>
        <v>-2625</v>
      </c>
      <c r="H13" s="7">
        <f>'Balance Sheet'!H28</f>
        <v>875</v>
      </c>
      <c r="J13" s="7">
        <f>'Balance Sheet'!J28-'Balance Sheet'!F28</f>
        <v>17697.513716037567</v>
      </c>
      <c r="K13" s="7">
        <f>'Balance Sheet'!K28-'Balance Sheet'!J28</f>
        <v>41958.957928507269</v>
      </c>
      <c r="L13" s="7">
        <f>'Balance Sheet'!L28-'Balance Sheet'!K28</f>
        <v>81037.701695730939</v>
      </c>
      <c r="M13" s="7">
        <f>'Balance Sheet'!M28-'Balance Sheet'!L28</f>
        <v>8376.6413093531446</v>
      </c>
      <c r="O13" s="7">
        <f>'Balance Sheet'!O28-'Balance Sheet'!H28</f>
        <v>149070.81464962891</v>
      </c>
      <c r="Q13" s="7">
        <f>'Balance Sheet'!Q28-'Balance Sheet'!M28</f>
        <v>117294.51058794031</v>
      </c>
      <c r="R13" s="7">
        <f>'Balance Sheet'!R28-'Balance Sheet'!Q28</f>
        <v>10894.728695952974</v>
      </c>
      <c r="S13" s="7">
        <f>'Balance Sheet'!S28-'Balance Sheet'!R28</f>
        <v>16131.638281235297</v>
      </c>
      <c r="T13" s="7">
        <f>'Balance Sheet'!T28-'Balance Sheet'!S28</f>
        <v>16486.304087157885</v>
      </c>
      <c r="V13" s="7">
        <f>'Balance Sheet'!V28-'Balance Sheet'!O28</f>
        <v>160807.18165228647</v>
      </c>
      <c r="X13" s="7">
        <f>'Balance Sheet'!X28-'Balance Sheet'!T28</f>
        <v>141584.97106563015</v>
      </c>
      <c r="Y13" s="7">
        <f>'Balance Sheet'!Y28-'Balance Sheet'!X28</f>
        <v>246007.85499150254</v>
      </c>
      <c r="Z13" s="7">
        <f>'Balance Sheet'!Z28-'Balance Sheet'!Y28</f>
        <v>28083.812326205778</v>
      </c>
      <c r="AA13" s="7">
        <f>'Balance Sheet'!AA28-'Balance Sheet'!Z28</f>
        <v>34884.262297804467</v>
      </c>
      <c r="AC13" s="7">
        <f>'Balance Sheet'!AC28-'Balance Sheet'!V28</f>
        <v>450560.90068114293</v>
      </c>
      <c r="AE13" s="7">
        <f>'Balance Sheet'!AE28-'Balance Sheet'!AA28</f>
        <v>121770.46378381934</v>
      </c>
      <c r="AF13" s="7">
        <f>'Balance Sheet'!AF28-'Balance Sheet'!AE28</f>
        <v>40643.011710072169</v>
      </c>
      <c r="AG13" s="7">
        <f>'Balance Sheet'!AG28-'Balance Sheet'!AF28</f>
        <v>49936.267165262369</v>
      </c>
      <c r="AH13" s="7">
        <f>'Balance Sheet'!AH28-'Balance Sheet'!AG28</f>
        <v>41973.716218402726</v>
      </c>
      <c r="AJ13" s="7">
        <f>'Balance Sheet'!AJ28-'Balance Sheet'!AC28</f>
        <v>254323.45887755661</v>
      </c>
    </row>
    <row r="14" spans="2:36" ht="16" x14ac:dyDescent="0.2">
      <c r="B14" s="42" t="s">
        <v>102</v>
      </c>
      <c r="C14" s="7">
        <f>'Balance Sheet'!C29</f>
        <v>17500</v>
      </c>
      <c r="D14" s="7">
        <f>'Balance Sheet'!D29-'Balance Sheet'!C29</f>
        <v>0</v>
      </c>
      <c r="E14" s="7">
        <f>'Balance Sheet'!E29-'Balance Sheet'!D29</f>
        <v>17500</v>
      </c>
      <c r="F14" s="7">
        <f>'Balance Sheet'!F29-'Balance Sheet'!E29</f>
        <v>0</v>
      </c>
      <c r="H14" s="7">
        <f>'Balance Sheet'!H29</f>
        <v>105000</v>
      </c>
      <c r="J14" s="7">
        <f>'Balance Sheet'!J29-'Balance Sheet'!F29</f>
        <v>62125</v>
      </c>
      <c r="K14" s="7">
        <f>'Balance Sheet'!K29-'Balance Sheet'!J29</f>
        <v>23625</v>
      </c>
      <c r="L14" s="7">
        <f>'Balance Sheet'!L29-'Balance Sheet'!K29</f>
        <v>42000</v>
      </c>
      <c r="M14" s="7">
        <f>'Balance Sheet'!M29-'Balance Sheet'!L29</f>
        <v>10500</v>
      </c>
      <c r="O14" s="7">
        <f>'Balance Sheet'!O29-'Balance Sheet'!H29</f>
        <v>448875</v>
      </c>
      <c r="Q14" s="7">
        <f>'Balance Sheet'!Q29-'Balance Sheet'!M29</f>
        <v>58275</v>
      </c>
      <c r="R14" s="7">
        <f>'Balance Sheet'!R29-'Balance Sheet'!Q29</f>
        <v>11025</v>
      </c>
      <c r="S14" s="7">
        <f>'Balance Sheet'!S29-'Balance Sheet'!R29</f>
        <v>16537.5</v>
      </c>
      <c r="T14" s="7">
        <f>'Balance Sheet'!T29-'Balance Sheet'!S29</f>
        <v>16537.5</v>
      </c>
      <c r="V14" s="7">
        <f>'Balance Sheet'!V29-'Balance Sheet'!O29</f>
        <v>454912.5</v>
      </c>
      <c r="X14" s="7">
        <f>'Balance Sheet'!X29-'Balance Sheet'!T29</f>
        <v>132437.8125</v>
      </c>
      <c r="Y14" s="7">
        <f>'Balance Sheet'!Y29-'Balance Sheet'!X29</f>
        <v>124444.6875</v>
      </c>
      <c r="Z14" s="7">
        <f>'Balance Sheet'!Z29-'Balance Sheet'!Y29</f>
        <v>23152.5</v>
      </c>
      <c r="AA14" s="7">
        <f>'Balance Sheet'!AA29-'Balance Sheet'!Z29</f>
        <v>28940.625</v>
      </c>
      <c r="AC14" s="7">
        <f>'Balance Sheet'!AC29-'Balance Sheet'!V29</f>
        <v>1072043.4375</v>
      </c>
      <c r="AE14" s="7">
        <f>'Balance Sheet'!AE29-'Balance Sheet'!AA29</f>
        <v>59617.6875</v>
      </c>
      <c r="AF14" s="7">
        <f>'Balance Sheet'!AF29-'Balance Sheet'!AE29</f>
        <v>30387.65625</v>
      </c>
      <c r="AG14" s="7">
        <f>'Balance Sheet'!AG29-'Balance Sheet'!AF29</f>
        <v>30387.65625</v>
      </c>
      <c r="AH14" s="7">
        <f>'Balance Sheet'!AH29-'Balance Sheet'!AG29</f>
        <v>30387.65625</v>
      </c>
      <c r="AJ14" s="7">
        <f>'Balance Sheet'!AJ29-'Balance Sheet'!AC29</f>
        <v>678368.25</v>
      </c>
    </row>
    <row r="15" spans="2:36" ht="16" x14ac:dyDescent="0.2">
      <c r="B15" s="42" t="s">
        <v>103</v>
      </c>
      <c r="C15" s="7">
        <f>-'Balance Sheet'!C13</f>
        <v>-116666.66666666667</v>
      </c>
      <c r="D15" s="7">
        <f>-('Balance Sheet'!D13-'Balance Sheet'!C13)</f>
        <v>0</v>
      </c>
      <c r="E15" s="7">
        <f>-('Balance Sheet'!E13-'Balance Sheet'!D13)</f>
        <v>-116666.66666666667</v>
      </c>
      <c r="F15" s="7">
        <f>-('Balance Sheet'!F13-'Balance Sheet'!E13)</f>
        <v>0</v>
      </c>
      <c r="H15" s="7">
        <f>-'Balance Sheet'!H13</f>
        <v>-233333.33333333334</v>
      </c>
      <c r="J15" s="7">
        <f>-('Balance Sheet'!J13-'Balance Sheet'!F13)</f>
        <v>-414166.66666666663</v>
      </c>
      <c r="K15" s="7">
        <f>-('Balance Sheet'!K13-'Balance Sheet'!J13)</f>
        <v>-157500</v>
      </c>
      <c r="L15" s="7">
        <f>-('Balance Sheet'!L13-'Balance Sheet'!K13)</f>
        <v>-280000</v>
      </c>
      <c r="M15" s="7">
        <f>-('Balance Sheet'!M13-'Balance Sheet'!L13)</f>
        <v>-70000</v>
      </c>
      <c r="O15" s="7">
        <f>-('Balance Sheet'!O13-'Balance Sheet'!H13)</f>
        <v>-921666.66666666663</v>
      </c>
      <c r="Q15" s="7">
        <f>-('Balance Sheet'!Q13-'Balance Sheet'!M13)</f>
        <v>-388500</v>
      </c>
      <c r="R15" s="7">
        <f>-('Balance Sheet'!R13-'Balance Sheet'!Q13)</f>
        <v>-73500</v>
      </c>
      <c r="S15" s="7">
        <f>-('Balance Sheet'!S13-'Balance Sheet'!R13)</f>
        <v>-110250</v>
      </c>
      <c r="T15" s="7">
        <f>-('Balance Sheet'!T13-'Balance Sheet'!S13)</f>
        <v>-110250</v>
      </c>
      <c r="V15" s="7">
        <f>-('Balance Sheet'!V13-'Balance Sheet'!O13)</f>
        <v>-682500</v>
      </c>
      <c r="X15" s="7">
        <f>-('Balance Sheet'!X13-'Balance Sheet'!T13)</f>
        <v>-882918.75</v>
      </c>
      <c r="Y15" s="7">
        <f>-('Balance Sheet'!Y13-'Balance Sheet'!X13)</f>
        <v>-829631.25</v>
      </c>
      <c r="Z15" s="7">
        <f>-('Balance Sheet'!Z13-'Balance Sheet'!Y13)</f>
        <v>-154350</v>
      </c>
      <c r="AA15" s="7">
        <f>-('Balance Sheet'!AA13-'Balance Sheet'!Z13)</f>
        <v>-192937.5</v>
      </c>
      <c r="AC15" s="7">
        <f>-('Balance Sheet'!AC13-'Balance Sheet'!V13)</f>
        <v>-2059837.5</v>
      </c>
      <c r="AE15" s="7">
        <f>-('Balance Sheet'!AE13-'Balance Sheet'!AA13)</f>
        <v>-397451.25</v>
      </c>
      <c r="AF15" s="7">
        <f>-('Balance Sheet'!AF13-'Balance Sheet'!AE13)</f>
        <v>-202584.375</v>
      </c>
      <c r="AG15" s="7">
        <f>-('Balance Sheet'!AG13-'Balance Sheet'!AF13)</f>
        <v>-202584.375</v>
      </c>
      <c r="AH15" s="7">
        <f>-('Balance Sheet'!AH13-'Balance Sheet'!AG13)</f>
        <v>-202584.375</v>
      </c>
      <c r="AJ15" s="7">
        <f>-('Balance Sheet'!AJ13-'Balance Sheet'!AC13)</f>
        <v>-1005204.375</v>
      </c>
    </row>
    <row r="16" spans="2:36" ht="16" x14ac:dyDescent="0.2">
      <c r="B16" s="42" t="s">
        <v>104</v>
      </c>
      <c r="C16" s="7">
        <f>-('Balance Sheet'!C15)</f>
        <v>-17500</v>
      </c>
      <c r="D16" s="7">
        <f>-('Balance Sheet'!D15-'Balance Sheet'!C15)</f>
        <v>0</v>
      </c>
      <c r="E16" s="7">
        <f>-('Balance Sheet'!E15-'Balance Sheet'!D15)</f>
        <v>-17500</v>
      </c>
      <c r="F16" s="7">
        <f>-('Balance Sheet'!F15-'Balance Sheet'!E15)</f>
        <v>0</v>
      </c>
      <c r="H16" s="7">
        <f>-'Balance Sheet'!H15</f>
        <v>-105000</v>
      </c>
      <c r="J16" s="7">
        <f>-('Balance Sheet'!J15-'Balance Sheet'!F15)</f>
        <v>-62125</v>
      </c>
      <c r="K16" s="7">
        <f>-('Balance Sheet'!K15-'Balance Sheet'!J15)</f>
        <v>-23625</v>
      </c>
      <c r="L16" s="7">
        <f>-('Balance Sheet'!L15-'Balance Sheet'!K15)</f>
        <v>-42000</v>
      </c>
      <c r="M16" s="7">
        <f>-('Balance Sheet'!M15-'Balance Sheet'!L15)</f>
        <v>-10500</v>
      </c>
      <c r="O16" s="7">
        <f>-('Balance Sheet'!O15-'Balance Sheet'!H15)</f>
        <v>-448875</v>
      </c>
      <c r="Q16" s="7">
        <f>-('Balance Sheet'!Q15-'Balance Sheet'!M15)</f>
        <v>-58275</v>
      </c>
      <c r="R16" s="7">
        <f>-('Balance Sheet'!R15-'Balance Sheet'!Q15)</f>
        <v>-11025</v>
      </c>
      <c r="S16" s="7">
        <f>-('Balance Sheet'!S15-'Balance Sheet'!R15)</f>
        <v>-16537.5</v>
      </c>
      <c r="T16" s="7">
        <f>-('Balance Sheet'!T15-'Balance Sheet'!S15)</f>
        <v>-16537.5</v>
      </c>
      <c r="V16" s="7">
        <f>-('Balance Sheet'!V15-'Balance Sheet'!O15)</f>
        <v>-454912.5</v>
      </c>
      <c r="X16" s="7">
        <f>-('Balance Sheet'!X15-'Balance Sheet'!T15)</f>
        <v>-132437.8125</v>
      </c>
      <c r="Y16" s="7">
        <f>-('Balance Sheet'!Y15-'Balance Sheet'!X15)</f>
        <v>-124444.6875</v>
      </c>
      <c r="Z16" s="7">
        <f>-('Balance Sheet'!Z15-'Balance Sheet'!Y15)</f>
        <v>-23152.5</v>
      </c>
      <c r="AA16" s="7">
        <f>-('Balance Sheet'!AA15-'Balance Sheet'!Z15)</f>
        <v>-28940.625</v>
      </c>
      <c r="AC16" s="7">
        <f>-('Balance Sheet'!AC15-'Balance Sheet'!V15)</f>
        <v>-1072043.4375</v>
      </c>
      <c r="AE16" s="7">
        <f>-('Balance Sheet'!AE15-'Balance Sheet'!AA15)</f>
        <v>-59617.6875</v>
      </c>
      <c r="AF16" s="7">
        <f>-('Balance Sheet'!AF15-'Balance Sheet'!AE15)</f>
        <v>-30387.65625</v>
      </c>
      <c r="AG16" s="7">
        <f>-('Balance Sheet'!AG15-'Balance Sheet'!AF15)</f>
        <v>-30387.65625</v>
      </c>
      <c r="AH16" s="7">
        <f>-('Balance Sheet'!AH15-'Balance Sheet'!AG15)</f>
        <v>-30387.65625</v>
      </c>
      <c r="AJ16" s="7">
        <f>-('Balance Sheet'!AJ15-'Balance Sheet'!AC15)</f>
        <v>-678368.25</v>
      </c>
    </row>
    <row r="17" spans="2:36" x14ac:dyDescent="0.2">
      <c r="B17" s="43" t="s">
        <v>105</v>
      </c>
      <c r="C17" s="46">
        <f>SUM(C12:C16)</f>
        <v>-84184.722222222219</v>
      </c>
      <c r="D17" s="46">
        <f t="shared" ref="D17:H17" si="17">SUM(D12:D16)</f>
        <v>0</v>
      </c>
      <c r="E17" s="46">
        <f t="shared" si="17"/>
        <v>-88559.722222222219</v>
      </c>
      <c r="F17" s="46">
        <f t="shared" si="17"/>
        <v>4375</v>
      </c>
      <c r="G17" s="8"/>
      <c r="H17" s="46">
        <f t="shared" si="17"/>
        <v>-168369.44444444447</v>
      </c>
      <c r="J17" s="46">
        <f>SUM(J12:J16)</f>
        <v>-275301.09739507351</v>
      </c>
      <c r="K17" s="46">
        <f t="shared" ref="K17" si="18">SUM(K12:K16)</f>
        <v>-85878.542071492731</v>
      </c>
      <c r="L17" s="46">
        <f t="shared" ref="L17" si="19">SUM(L12:L16)</f>
        <v>-150662.29830426906</v>
      </c>
      <c r="M17" s="46">
        <f t="shared" ref="M17" si="20">SUM(M12:M16)</f>
        <v>-45523.358690646855</v>
      </c>
      <c r="N17" s="8"/>
      <c r="O17" s="46">
        <f t="shared" ref="O17" si="21">SUM(O12:O16)</f>
        <v>-557365.29646148218</v>
      </c>
      <c r="Q17" s="46">
        <f>SUM(Q12:Q16)</f>
        <v>-204914.71163428188</v>
      </c>
      <c r="R17" s="46">
        <f t="shared" ref="R17" si="22">SUM(R12:R16)</f>
        <v>-46766.021304047026</v>
      </c>
      <c r="S17" s="46">
        <f t="shared" ref="S17" si="23">SUM(S12:S16)</f>
        <v>-70359.486718764703</v>
      </c>
      <c r="T17" s="46">
        <f t="shared" ref="T17" si="24">SUM(T12:T16)</f>
        <v>-70004.820912842115</v>
      </c>
      <c r="U17" s="8"/>
      <c r="V17" s="46">
        <f t="shared" ref="V17" si="25">SUM(V12:V16)</f>
        <v>-392045.04056993569</v>
      </c>
      <c r="X17" s="46">
        <f>SUM(X12:X16)</f>
        <v>-614188.92893436993</v>
      </c>
      <c r="Y17" s="46">
        <f t="shared" ref="Y17" si="26">SUM(Y12:Y16)</f>
        <v>-463153.22000849742</v>
      </c>
      <c r="Z17" s="46">
        <f t="shared" ref="Z17" si="27">SUM(Z12:Z16)</f>
        <v>-98791.887673794292</v>
      </c>
      <c r="AA17" s="46">
        <f t="shared" ref="AA17" si="28">SUM(AA12:AA16)</f>
        <v>-123710.36270219553</v>
      </c>
      <c r="AB17" s="8"/>
      <c r="AC17" s="46">
        <f t="shared" ref="AC17" si="29">SUM(AC12:AC16)</f>
        <v>-1299844.3993188571</v>
      </c>
      <c r="AE17" s="46">
        <f>SUM(AE12:AE16)</f>
        <v>-227642.07482729189</v>
      </c>
      <c r="AF17" s="46">
        <f t="shared" ref="AF17" si="30">SUM(AF12:AF16)</f>
        <v>-126894.26641492767</v>
      </c>
      <c r="AG17" s="46">
        <f t="shared" ref="AG17" si="31">SUM(AG12:AG16)</f>
        <v>-141100.79845973756</v>
      </c>
      <c r="AH17" s="46">
        <f t="shared" ref="AH17" si="32">SUM(AH12:AH16)</f>
        <v>-126576.48378159734</v>
      </c>
      <c r="AI17" s="8"/>
      <c r="AJ17" s="46">
        <f t="shared" ref="AJ17" si="33">SUM(AJ12:AJ16)</f>
        <v>-622213.62348355446</v>
      </c>
    </row>
    <row r="18" spans="2:36" x14ac:dyDescent="0.2">
      <c r="B18" s="44"/>
      <c r="C18" s="7"/>
      <c r="D18" s="7"/>
      <c r="E18" s="7"/>
      <c r="F18" s="7"/>
      <c r="H18" s="7"/>
      <c r="J18" s="7"/>
      <c r="K18" s="7"/>
      <c r="L18" s="7"/>
      <c r="M18" s="7"/>
      <c r="O18" s="7"/>
      <c r="Q18" s="7"/>
      <c r="R18" s="7"/>
      <c r="S18" s="7"/>
      <c r="T18" s="7"/>
      <c r="V18" s="7"/>
      <c r="X18" s="7"/>
      <c r="Y18" s="7"/>
      <c r="Z18" s="7"/>
      <c r="AA18" s="7"/>
      <c r="AC18" s="7"/>
      <c r="AE18" s="7"/>
      <c r="AF18" s="7"/>
      <c r="AG18" s="7"/>
      <c r="AH18" s="7"/>
      <c r="AJ18" s="7"/>
    </row>
    <row r="19" spans="2:36" x14ac:dyDescent="0.2">
      <c r="B19" s="45" t="s">
        <v>106</v>
      </c>
      <c r="C19" s="24">
        <f>C10+C17</f>
        <v>-81559.722222222219</v>
      </c>
      <c r="D19" s="24">
        <f t="shared" ref="D19:AJ19" si="34">D10+D17</f>
        <v>2625</v>
      </c>
      <c r="E19" s="24">
        <f t="shared" si="34"/>
        <v>-67559.722222222219</v>
      </c>
      <c r="F19" s="25">
        <f t="shared" si="34"/>
        <v>9625</v>
      </c>
      <c r="H19" s="26">
        <f t="shared" si="34"/>
        <v>-136869.44444444447</v>
      </c>
      <c r="J19" s="29">
        <f>J10+J17</f>
        <v>-114958.62482714863</v>
      </c>
      <c r="K19" s="24">
        <f t="shared" si="34"/>
        <v>374058.51463941764</v>
      </c>
      <c r="L19" s="24">
        <f t="shared" si="34"/>
        <v>842299.35501517938</v>
      </c>
      <c r="M19" s="25">
        <f t="shared" si="34"/>
        <v>1092385.0120100952</v>
      </c>
      <c r="O19" s="26">
        <f t="shared" si="34"/>
        <v>2193784.2568375436</v>
      </c>
      <c r="Q19" s="29">
        <f>Q10+Q17</f>
        <v>1724494.3878905799</v>
      </c>
      <c r="R19" s="24">
        <f t="shared" si="34"/>
        <v>2033835.8708289086</v>
      </c>
      <c r="S19" s="24">
        <f t="shared" si="34"/>
        <v>2237452.5038517206</v>
      </c>
      <c r="T19" s="25">
        <f t="shared" si="34"/>
        <v>2464307.9364833268</v>
      </c>
      <c r="V19" s="26">
        <f t="shared" si="34"/>
        <v>8460090.6990545355</v>
      </c>
      <c r="X19" s="29">
        <f>X10+X17</f>
        <v>2887473.9613305395</v>
      </c>
      <c r="Y19" s="24">
        <f t="shared" si="34"/>
        <v>4673977.1852734061</v>
      </c>
      <c r="Z19" s="24">
        <f t="shared" si="34"/>
        <v>5362797.9929556986</v>
      </c>
      <c r="AA19" s="25">
        <f t="shared" si="34"/>
        <v>5743894.8683316885</v>
      </c>
      <c r="AC19" s="26">
        <f t="shared" si="34"/>
        <v>18668144.007891327</v>
      </c>
      <c r="AE19" s="29">
        <f>AE10+AE17</f>
        <v>6551988.9048889531</v>
      </c>
      <c r="AF19" s="24">
        <f t="shared" si="34"/>
        <v>7074062.5242561726</v>
      </c>
      <c r="AG19" s="24">
        <f t="shared" si="34"/>
        <v>7533094.6547558382</v>
      </c>
      <c r="AH19" s="25">
        <f t="shared" si="34"/>
        <v>7969322.1369971717</v>
      </c>
      <c r="AJ19" s="26">
        <f t="shared" si="34"/>
        <v>29128468.220898133</v>
      </c>
    </row>
    <row r="20" spans="2:36" x14ac:dyDescent="0.2">
      <c r="B20" s="39"/>
      <c r="C20" s="7"/>
      <c r="D20" s="7"/>
      <c r="E20" s="7"/>
      <c r="F20" s="7"/>
      <c r="H20" s="7"/>
      <c r="J20" s="7"/>
      <c r="K20" s="7"/>
      <c r="L20" s="7"/>
      <c r="M20" s="7"/>
      <c r="O20" s="7"/>
      <c r="Q20" s="7"/>
      <c r="R20" s="7"/>
      <c r="S20" s="7"/>
      <c r="T20" s="7"/>
      <c r="V20" s="7"/>
      <c r="X20" s="7"/>
      <c r="Y20" s="7"/>
      <c r="Z20" s="7"/>
      <c r="AA20" s="7"/>
      <c r="AC20" s="7"/>
      <c r="AE20" s="7"/>
      <c r="AF20" s="7"/>
      <c r="AG20" s="7"/>
      <c r="AH20" s="7"/>
      <c r="AJ20" s="7"/>
    </row>
    <row r="21" spans="2:36" x14ac:dyDescent="0.2">
      <c r="B21" s="41" t="s">
        <v>107</v>
      </c>
      <c r="C21" s="7"/>
      <c r="D21" s="7"/>
      <c r="E21" s="7"/>
      <c r="F21" s="7"/>
      <c r="H21" s="7"/>
      <c r="J21" s="7"/>
      <c r="K21" s="7"/>
      <c r="L21" s="7"/>
      <c r="M21" s="7"/>
      <c r="O21" s="7"/>
      <c r="Q21" s="7"/>
      <c r="R21" s="7"/>
      <c r="S21" s="7"/>
      <c r="T21" s="7"/>
      <c r="V21" s="7"/>
      <c r="X21" s="7"/>
      <c r="Y21" s="7"/>
      <c r="Z21" s="7"/>
      <c r="AA21" s="7"/>
      <c r="AC21" s="7"/>
      <c r="AE21" s="7"/>
      <c r="AF21" s="7"/>
      <c r="AG21" s="7"/>
      <c r="AH21" s="7"/>
      <c r="AJ21" s="7"/>
    </row>
    <row r="22" spans="2:36" x14ac:dyDescent="0.2">
      <c r="B22" s="39" t="s">
        <v>151</v>
      </c>
      <c r="C22" s="7">
        <f>-'Fixed Asset Schedule'!C13</f>
        <v>0</v>
      </c>
      <c r="D22" s="7">
        <f>-'Fixed Asset Schedule'!D13</f>
        <v>0</v>
      </c>
      <c r="E22" s="7">
        <f>-'Fixed Asset Schedule'!E13</f>
        <v>0</v>
      </c>
      <c r="F22" s="7">
        <f>-'Fixed Asset Schedule'!F13</f>
        <v>0</v>
      </c>
      <c r="H22" s="7">
        <f>SUM(C22:F22)</f>
        <v>0</v>
      </c>
      <c r="J22" s="7">
        <f>-'Fixed Asset Schedule'!J13</f>
        <v>-1230250</v>
      </c>
      <c r="K22" s="7">
        <f>-'Fixed Asset Schedule'!K13</f>
        <v>-1230250</v>
      </c>
      <c r="L22" s="7">
        <f>-'Fixed Asset Schedule'!L13</f>
        <v>-1230250</v>
      </c>
      <c r="M22" s="7">
        <f>-'Fixed Asset Schedule'!M13</f>
        <v>-2460500</v>
      </c>
      <c r="O22" s="7">
        <f>SUM(J22:M22)</f>
        <v>-6151250</v>
      </c>
      <c r="Q22" s="7">
        <f>-'Fixed Asset Schedule'!Q13</f>
        <v>-2337475</v>
      </c>
      <c r="R22" s="7">
        <f>-'Fixed Asset Schedule'!R13</f>
        <v>-2337475</v>
      </c>
      <c r="S22" s="7">
        <f>-'Fixed Asset Schedule'!S13</f>
        <v>-3506212.5</v>
      </c>
      <c r="T22" s="7">
        <f>-'Fixed Asset Schedule'!T13</f>
        <v>-3506212.5</v>
      </c>
      <c r="V22" s="7">
        <f>SUM(Q22:T22)</f>
        <v>-11687375</v>
      </c>
      <c r="X22" s="7">
        <f>-'Fixed Asset Schedule'!X13</f>
        <v>-3330901.875</v>
      </c>
      <c r="Y22" s="7">
        <f>-'Fixed Asset Schedule'!Y13</f>
        <v>-4441202.5</v>
      </c>
      <c r="Z22" s="7">
        <f>-'Fixed Asset Schedule'!Z13</f>
        <v>-4441202.5</v>
      </c>
      <c r="AA22" s="7">
        <f>-'Fixed Asset Schedule'!AA13</f>
        <v>-5551503.125</v>
      </c>
      <c r="AC22" s="7">
        <f>SUM(X22:AA22)</f>
        <v>-17764810</v>
      </c>
      <c r="AE22" s="7">
        <f>-'Fixed Asset Schedule'!AE13</f>
        <v>-5273927.96875</v>
      </c>
      <c r="AF22" s="7">
        <f>-'Fixed Asset Schedule'!AF13</f>
        <v>-5273927.96875</v>
      </c>
      <c r="AG22" s="7">
        <f>-'Fixed Asset Schedule'!AG13</f>
        <v>-5273927.96875</v>
      </c>
      <c r="AH22" s="7">
        <f>-'Fixed Asset Schedule'!AH13</f>
        <v>-5273927.96875</v>
      </c>
      <c r="AJ22" s="7">
        <f>SUM(AE22:AH22)</f>
        <v>-21095711.875</v>
      </c>
    </row>
    <row r="23" spans="2:36" x14ac:dyDescent="0.2">
      <c r="B23" s="39" t="s">
        <v>152</v>
      </c>
      <c r="C23" s="7">
        <f>-'Fixed Asset Schedule'!C20</f>
        <v>0</v>
      </c>
      <c r="D23" s="7">
        <f>-'Fixed Asset Schedule'!D20</f>
        <v>0</v>
      </c>
      <c r="E23" s="7">
        <f>-'Fixed Asset Schedule'!E20</f>
        <v>0</v>
      </c>
      <c r="F23" s="7">
        <f>-'Fixed Asset Schedule'!F20</f>
        <v>0</v>
      </c>
      <c r="H23" s="7">
        <f>SUM(C23:F23)</f>
        <v>0</v>
      </c>
      <c r="J23" s="7">
        <f>-'Fixed Asset Schedule'!J20</f>
        <v>0</v>
      </c>
      <c r="K23" s="7">
        <f>-'Fixed Asset Schedule'!K20</f>
        <v>0</v>
      </c>
      <c r="L23" s="7">
        <f>-'Fixed Asset Schedule'!L20</f>
        <v>0</v>
      </c>
      <c r="M23" s="7">
        <f>-'Fixed Asset Schedule'!M20</f>
        <v>0</v>
      </c>
      <c r="O23" s="7">
        <f>SUM(J23:M23)</f>
        <v>0</v>
      </c>
      <c r="Q23" s="7">
        <f>-'Fixed Asset Schedule'!Q20</f>
        <v>0</v>
      </c>
      <c r="R23" s="7">
        <f>-'Fixed Asset Schedule'!R20</f>
        <v>0</v>
      </c>
      <c r="S23" s="7">
        <f>-'Fixed Asset Schedule'!S20</f>
        <v>0</v>
      </c>
      <c r="T23" s="7">
        <f>-'Fixed Asset Schedule'!T20</f>
        <v>0</v>
      </c>
      <c r="V23" s="7">
        <f>SUM(Q23:T23)</f>
        <v>0</v>
      </c>
      <c r="X23" s="7">
        <f>-'Fixed Asset Schedule'!X20</f>
        <v>0</v>
      </c>
      <c r="Y23" s="7">
        <f>-'Fixed Asset Schedule'!Y20</f>
        <v>0</v>
      </c>
      <c r="Z23" s="7">
        <f>-'Fixed Asset Schedule'!Z20</f>
        <v>0</v>
      </c>
      <c r="AA23" s="7">
        <f>-'Fixed Asset Schedule'!AA20</f>
        <v>0</v>
      </c>
      <c r="AC23" s="7">
        <f>SUM(X23:AA23)</f>
        <v>0</v>
      </c>
      <c r="AE23" s="7">
        <f>-'Fixed Asset Schedule'!AE20</f>
        <v>0</v>
      </c>
      <c r="AF23" s="7">
        <f>-'Fixed Asset Schedule'!AF20</f>
        <v>0</v>
      </c>
      <c r="AG23" s="7">
        <f>-'Fixed Asset Schedule'!AG20</f>
        <v>0</v>
      </c>
      <c r="AH23" s="7">
        <f>-'Fixed Asset Schedule'!AH20</f>
        <v>0</v>
      </c>
      <c r="AJ23" s="7">
        <f>SUM(AE23:AH23)</f>
        <v>0</v>
      </c>
    </row>
    <row r="24" spans="2:36" x14ac:dyDescent="0.2">
      <c r="B24" s="39" t="s">
        <v>155</v>
      </c>
      <c r="C24" s="7">
        <f>'Balance Sheet'!C9</f>
        <v>0</v>
      </c>
      <c r="D24" s="7">
        <f>-('Balance Sheet'!D9-'Balance Sheet'!C9)</f>
        <v>-200000</v>
      </c>
      <c r="E24" s="7">
        <f>-('Balance Sheet'!E9-'Balance Sheet'!D9)</f>
        <v>0</v>
      </c>
      <c r="F24" s="7">
        <f>-('Balance Sheet'!F9-'Balance Sheet'!E9)</f>
        <v>0</v>
      </c>
      <c r="H24" s="7">
        <f>-'Balance Sheet'!H9</f>
        <v>-200000</v>
      </c>
      <c r="J24" s="7">
        <f>-('Balance Sheet'!J9-'Balance Sheet'!F9)</f>
        <v>0</v>
      </c>
      <c r="K24" s="7">
        <f>-('Balance Sheet'!K9-'Balance Sheet'!J9)</f>
        <v>-1320000</v>
      </c>
      <c r="L24" s="7">
        <f>-('Balance Sheet'!L9-'Balance Sheet'!K9)</f>
        <v>0</v>
      </c>
      <c r="M24" s="7">
        <f>-('Balance Sheet'!M9-'Balance Sheet'!L9)</f>
        <v>0</v>
      </c>
      <c r="O24" s="7">
        <f>-('Balance Sheet'!O9-'Balance Sheet'!H9)</f>
        <v>-1320000</v>
      </c>
      <c r="Q24" s="7">
        <f>-('Balance Sheet'!Q9-'Balance Sheet'!M9)</f>
        <v>0</v>
      </c>
      <c r="R24" s="7">
        <f>-('Balance Sheet'!R9-'Balance Sheet'!Q9)</f>
        <v>0</v>
      </c>
      <c r="S24" s="7">
        <f>-('Balance Sheet'!S9-'Balance Sheet'!R9)</f>
        <v>0</v>
      </c>
      <c r="T24" s="7">
        <f>-('Balance Sheet'!T9-'Balance Sheet'!S9)</f>
        <v>0</v>
      </c>
      <c r="V24" s="7">
        <f>-('Balance Sheet'!V9-'Balance Sheet'!O9)</f>
        <v>0</v>
      </c>
      <c r="X24" s="7">
        <f>-('Balance Sheet'!X9-'Balance Sheet'!T9)</f>
        <v>0</v>
      </c>
      <c r="Y24" s="7">
        <f>-('Balance Sheet'!Y9-'Balance Sheet'!X9)</f>
        <v>0</v>
      </c>
      <c r="Z24" s="7">
        <f>-('Balance Sheet'!Z9-'Balance Sheet'!Y9)</f>
        <v>0</v>
      </c>
      <c r="AA24" s="7">
        <f>-('Balance Sheet'!AA9-'Balance Sheet'!Z9)</f>
        <v>0</v>
      </c>
      <c r="AC24" s="7">
        <f>-('Balance Sheet'!AC9-'Balance Sheet'!V9)</f>
        <v>0</v>
      </c>
      <c r="AE24" s="7">
        <f>-('Balance Sheet'!AE9-'Balance Sheet'!AA9)</f>
        <v>0</v>
      </c>
      <c r="AF24" s="7">
        <f>-('Balance Sheet'!AF9-'Balance Sheet'!AE9)</f>
        <v>0</v>
      </c>
      <c r="AG24" s="7">
        <f>-('Balance Sheet'!AG9-'Balance Sheet'!AF9)</f>
        <v>0</v>
      </c>
      <c r="AH24" s="7">
        <f>-('Balance Sheet'!AH9-'Balance Sheet'!AG9)</f>
        <v>0</v>
      </c>
      <c r="AJ24" s="7">
        <f>-('Balance Sheet'!AJ9-'Balance Sheet'!AC9)</f>
        <v>0</v>
      </c>
    </row>
    <row r="25" spans="2:36" x14ac:dyDescent="0.2">
      <c r="B25" s="45" t="s">
        <v>107</v>
      </c>
      <c r="C25" s="24">
        <f>SUM(C22:C24)</f>
        <v>0</v>
      </c>
      <c r="D25" s="24">
        <f t="shared" ref="D25:H25" si="35">SUM(D22:D24)</f>
        <v>-200000</v>
      </c>
      <c r="E25" s="24">
        <f t="shared" si="35"/>
        <v>0</v>
      </c>
      <c r="F25" s="25">
        <f t="shared" si="35"/>
        <v>0</v>
      </c>
      <c r="H25" s="26">
        <f t="shared" si="35"/>
        <v>-200000</v>
      </c>
      <c r="J25" s="29">
        <f>SUM(J22:J24)</f>
        <v>-1230250</v>
      </c>
      <c r="K25" s="24">
        <f t="shared" ref="K25" si="36">SUM(K22:K24)</f>
        <v>-2550250</v>
      </c>
      <c r="L25" s="24">
        <f t="shared" ref="L25" si="37">SUM(L22:L24)</f>
        <v>-1230250</v>
      </c>
      <c r="M25" s="25">
        <f t="shared" ref="M25" si="38">SUM(M22:M24)</f>
        <v>-2460500</v>
      </c>
      <c r="O25" s="26">
        <f t="shared" ref="O25" si="39">SUM(O22:O24)</f>
        <v>-7471250</v>
      </c>
      <c r="Q25" s="29">
        <f>SUM(Q22:Q23)</f>
        <v>-2337475</v>
      </c>
      <c r="R25" s="24">
        <f t="shared" ref="R25" si="40">SUM(R22:R23)</f>
        <v>-2337475</v>
      </c>
      <c r="S25" s="24">
        <f t="shared" ref="S25" si="41">SUM(S22:S23)</f>
        <v>-3506212.5</v>
      </c>
      <c r="T25" s="25">
        <f t="shared" ref="T25" si="42">SUM(T22:T23)</f>
        <v>-3506212.5</v>
      </c>
      <c r="V25" s="26">
        <f t="shared" ref="V25" si="43">SUM(V22:V23)</f>
        <v>-11687375</v>
      </c>
      <c r="X25" s="29">
        <f>SUM(X22:X23)</f>
        <v>-3330901.875</v>
      </c>
      <c r="Y25" s="24">
        <f t="shared" ref="Y25" si="44">SUM(Y22:Y23)</f>
        <v>-4441202.5</v>
      </c>
      <c r="Z25" s="24">
        <f t="shared" ref="Z25" si="45">SUM(Z22:Z23)</f>
        <v>-4441202.5</v>
      </c>
      <c r="AA25" s="25">
        <f t="shared" ref="AA25" si="46">SUM(AA22:AA23)</f>
        <v>-5551503.125</v>
      </c>
      <c r="AC25" s="26">
        <f t="shared" ref="AC25" si="47">SUM(AC22:AC23)</f>
        <v>-17764810</v>
      </c>
      <c r="AE25" s="29">
        <f>SUM(AE22:AE23)</f>
        <v>-5273927.96875</v>
      </c>
      <c r="AF25" s="24">
        <f t="shared" ref="AF25" si="48">SUM(AF22:AF23)</f>
        <v>-5273927.96875</v>
      </c>
      <c r="AG25" s="24">
        <f t="shared" ref="AG25" si="49">SUM(AG22:AG23)</f>
        <v>-5273927.96875</v>
      </c>
      <c r="AH25" s="25">
        <f t="shared" ref="AH25" si="50">SUM(AH22:AH23)</f>
        <v>-5273927.96875</v>
      </c>
      <c r="AJ25" s="26">
        <f t="shared" ref="AJ25" si="51">SUM(AJ22:AJ23)</f>
        <v>-21095711.875</v>
      </c>
    </row>
    <row r="26" spans="2:36" x14ac:dyDescent="0.2">
      <c r="B26" s="39"/>
      <c r="C26" s="9"/>
      <c r="D26" s="9"/>
      <c r="E26" s="9"/>
      <c r="F26" s="9"/>
      <c r="G26" s="8"/>
      <c r="H26" s="9"/>
      <c r="I26" s="8"/>
      <c r="J26" s="9"/>
      <c r="K26" s="9"/>
      <c r="L26" s="9"/>
      <c r="M26" s="9"/>
      <c r="N26" s="8"/>
      <c r="O26" s="9"/>
      <c r="P26" s="8"/>
      <c r="Q26" s="9"/>
      <c r="R26" s="9"/>
      <c r="S26" s="9"/>
      <c r="T26" s="9"/>
      <c r="U26" s="8"/>
      <c r="V26" s="9"/>
      <c r="W26" s="8"/>
      <c r="X26" s="9"/>
      <c r="Y26" s="9"/>
      <c r="Z26" s="9"/>
      <c r="AA26" s="9"/>
      <c r="AB26" s="8"/>
      <c r="AC26" s="9"/>
      <c r="AD26" s="8"/>
      <c r="AE26" s="9"/>
      <c r="AF26" s="9"/>
      <c r="AG26" s="9"/>
      <c r="AH26" s="9"/>
      <c r="AI26" s="8"/>
      <c r="AJ26" s="9"/>
    </row>
    <row r="27" spans="2:36" x14ac:dyDescent="0.2">
      <c r="B27" s="41" t="s">
        <v>108</v>
      </c>
      <c r="C27" s="38"/>
      <c r="D27" s="38"/>
      <c r="E27" s="38"/>
      <c r="F27" s="38"/>
      <c r="H27" s="38"/>
      <c r="J27" s="38"/>
      <c r="K27" s="38"/>
      <c r="L27" s="38"/>
      <c r="M27" s="38"/>
      <c r="O27" s="38"/>
      <c r="Q27" s="38"/>
      <c r="R27" s="38"/>
      <c r="S27" s="38"/>
      <c r="T27" s="38"/>
      <c r="V27" s="38"/>
      <c r="X27" s="38"/>
      <c r="Y27" s="38"/>
      <c r="Z27" s="38"/>
      <c r="AA27" s="38"/>
      <c r="AC27" s="38"/>
      <c r="AE27" s="38"/>
      <c r="AF27" s="38"/>
      <c r="AG27" s="38"/>
      <c r="AH27" s="38"/>
      <c r="AJ27" s="38"/>
    </row>
    <row r="28" spans="2:36" x14ac:dyDescent="0.2">
      <c r="B28" s="39" t="s">
        <v>109</v>
      </c>
      <c r="C28" s="70">
        <v>1500000</v>
      </c>
      <c r="D28" s="7"/>
      <c r="J28" s="70">
        <v>1500000</v>
      </c>
    </row>
    <row r="29" spans="2:36" x14ac:dyDescent="0.2">
      <c r="B29" s="39" t="s">
        <v>110</v>
      </c>
      <c r="C29" s="7">
        <f>'Capital Deployment &amp; Debt Repay'!C17</f>
        <v>0</v>
      </c>
      <c r="D29" s="7">
        <f>'Capital Deployment &amp; Debt Repay'!D17</f>
        <v>0</v>
      </c>
      <c r="E29" s="7">
        <f>'Capital Deployment &amp; Debt Repay'!E17</f>
        <v>0</v>
      </c>
      <c r="F29" s="7">
        <f>'Capital Deployment &amp; Debt Repay'!F17</f>
        <v>0</v>
      </c>
      <c r="H29" s="7">
        <f>SUM(C29:F29)</f>
        <v>0</v>
      </c>
      <c r="J29" s="7">
        <f>'Capital Deployment &amp; Debt Repay'!J17</f>
        <v>922687.5</v>
      </c>
      <c r="K29" s="7">
        <f>'Capital Deployment &amp; Debt Repay'!K17</f>
        <v>922687.5</v>
      </c>
      <c r="L29" s="7">
        <f>'Capital Deployment &amp; Debt Repay'!L17</f>
        <v>922687.5</v>
      </c>
      <c r="M29" s="7">
        <f>'Capital Deployment &amp; Debt Repay'!M17</f>
        <v>1845375</v>
      </c>
      <c r="O29" s="7">
        <f>SUM(J29:M29)</f>
        <v>4613437.5</v>
      </c>
      <c r="Q29" s="7">
        <f>'Capital Deployment &amp; Debt Repay'!Q17</f>
        <v>1753106.25</v>
      </c>
      <c r="R29" s="7">
        <f>'Capital Deployment &amp; Debt Repay'!R17</f>
        <v>1753106.25</v>
      </c>
      <c r="S29" s="7">
        <f>'Capital Deployment &amp; Debt Repay'!S17</f>
        <v>2629659.375</v>
      </c>
      <c r="T29" s="7">
        <f>'Capital Deployment &amp; Debt Repay'!T17</f>
        <v>2629659.375</v>
      </c>
      <c r="V29" s="7">
        <f>SUM(Q29:T29)</f>
        <v>8765531.25</v>
      </c>
      <c r="X29" s="7">
        <f>'Capital Deployment &amp; Debt Repay'!X17</f>
        <v>2498176.40625</v>
      </c>
      <c r="Y29" s="7">
        <f>'Capital Deployment &amp; Debt Repay'!Y17</f>
        <v>3330901.875</v>
      </c>
      <c r="Z29" s="7">
        <f>'Capital Deployment &amp; Debt Repay'!Z17</f>
        <v>3330901.875</v>
      </c>
      <c r="AA29" s="7">
        <f>'Capital Deployment &amp; Debt Repay'!AA17</f>
        <v>4163627.34375</v>
      </c>
      <c r="AC29" s="7">
        <f>SUM(X29:AA29)</f>
        <v>13323607.5</v>
      </c>
      <c r="AE29" s="7">
        <f>'Capital Deployment &amp; Debt Repay'!AE17</f>
        <v>3955445.9765625</v>
      </c>
      <c r="AF29" s="7">
        <f>'Capital Deployment &amp; Debt Repay'!AF17</f>
        <v>3955445.9765625</v>
      </c>
      <c r="AG29" s="7">
        <f>'Capital Deployment &amp; Debt Repay'!AG17</f>
        <v>3955445.9765625</v>
      </c>
      <c r="AH29" s="7">
        <f>'Capital Deployment &amp; Debt Repay'!AH17</f>
        <v>3955445.9765625</v>
      </c>
      <c r="AJ29" s="7">
        <f>SUM(AE29:AH29)</f>
        <v>15821783.90625</v>
      </c>
    </row>
    <row r="30" spans="2:36" x14ac:dyDescent="0.2">
      <c r="B30" s="39" t="s">
        <v>111</v>
      </c>
      <c r="C30" s="7">
        <f>-'Capital Deployment &amp; Debt Repay'!C18</f>
        <v>0</v>
      </c>
      <c r="D30" s="7">
        <f>-'Capital Deployment &amp; Debt Repay'!D18</f>
        <v>0</v>
      </c>
      <c r="E30" s="7">
        <f>-'Capital Deployment &amp; Debt Repay'!E18</f>
        <v>0</v>
      </c>
      <c r="F30" s="7">
        <f>-'Capital Deployment &amp; Debt Repay'!F18</f>
        <v>0</v>
      </c>
      <c r="H30" s="7">
        <f>SUM(C30:F30)</f>
        <v>0</v>
      </c>
      <c r="J30" s="7">
        <f>-'Capital Deployment &amp; Debt Repay'!J18</f>
        <v>-15130.486415027515</v>
      </c>
      <c r="K30" s="7">
        <f>-'Capital Deployment &amp; Debt Repay'!K18</f>
        <v>-30012.858902907072</v>
      </c>
      <c r="L30" s="7">
        <f>-'Capital Deployment &amp; Debt Repay'!L18</f>
        <v>-44651.186104867797</v>
      </c>
      <c r="M30" s="7">
        <f>-'Capital Deployment &amp; Debt Repay'!M18</f>
        <v>-74179.956358455092</v>
      </c>
      <c r="O30" s="7">
        <f>SUM(J30:M30)</f>
        <v>-163974.48778125749</v>
      </c>
      <c r="Q30" s="7">
        <f>-'Capital Deployment &amp; Debt Repay'!Q18</f>
        <v>-101711.45697786947</v>
      </c>
      <c r="R30" s="7">
        <f>-'Capital Deployment &amp; Debt Repay'!R18</f>
        <v>-128791.48838792817</v>
      </c>
      <c r="S30" s="7">
        <f>-'Capital Deployment &amp; Debt Repay'!S18</f>
        <v>-169801.41600064919</v>
      </c>
      <c r="T30" s="7">
        <f>-'Capital Deployment &amp; Debt Repay'!T18</f>
        <v>-210138.851407043</v>
      </c>
      <c r="V30" s="7">
        <f>SUM(Q30:T30)</f>
        <v>-610443.21277348977</v>
      </c>
      <c r="X30" s="7">
        <f>-'Capital Deployment &amp; Debt Repay'!X18</f>
        <v>-247658.72800732654</v>
      </c>
      <c r="Y30" s="7">
        <f>-'Capital Deployment &amp; Debt Repay'!Y18</f>
        <v>-298218.60721865145</v>
      </c>
      <c r="Z30" s="7">
        <f>-'Capital Deployment &amp; Debt Repay'!Z18</f>
        <v>-347949.39145952044</v>
      </c>
      <c r="AA30" s="7">
        <f>-'Capital Deployment &amp; Debt Repay'!AA18</f>
        <v>-410519.94044956437</v>
      </c>
      <c r="AC30" s="7">
        <f>SUM(X30:AA30)</f>
        <v>-1304346.6671350626</v>
      </c>
      <c r="AE30" s="7">
        <f>-'Capital Deployment &amp; Debt Repay'!AE18</f>
        <v>-468650.62416608183</v>
      </c>
      <c r="AF30" s="7">
        <f>-'Capital Deployment &amp; Debt Repay'!AF18</f>
        <v>-525828.06475286232</v>
      </c>
      <c r="AG30" s="7">
        <f>-'Capital Deployment &amp; Debt Repay'!AG18</f>
        <v>-582067.89375604142</v>
      </c>
      <c r="AH30" s="7">
        <f>-'Capital Deployment &amp; Debt Repay'!AH18</f>
        <v>-637385.48639131035</v>
      </c>
      <c r="AJ30" s="7">
        <f>SUM(AE30:AH30)</f>
        <v>-2213932.0690662963</v>
      </c>
    </row>
    <row r="31" spans="2:36" x14ac:dyDescent="0.2">
      <c r="B31" s="39" t="s">
        <v>112</v>
      </c>
      <c r="C31" s="7">
        <f>-'Capital Deployment &amp; Debt Repay'!C21</f>
        <v>0</v>
      </c>
      <c r="D31" s="7">
        <f>-'Capital Deployment &amp; Debt Repay'!D21</f>
        <v>0</v>
      </c>
      <c r="E31" s="7">
        <f>-'Capital Deployment &amp; Debt Repay'!E21</f>
        <v>0</v>
      </c>
      <c r="F31" s="7">
        <f>-'Capital Deployment &amp; Debt Repay'!F21</f>
        <v>0</v>
      </c>
      <c r="H31" s="7">
        <f>SUM(C31:F31)</f>
        <v>0</v>
      </c>
      <c r="J31" s="7">
        <f>-'Capital Deployment &amp; Debt Repay'!J21</f>
        <v>-18151.140271699453</v>
      </c>
      <c r="K31" s="7">
        <f>-'Capital Deployment &amp; Debt Repay'!K21</f>
        <v>-36004.633093641307</v>
      </c>
      <c r="L31" s="7">
        <f>-'Capital Deployment &amp; Debt Repay'!L21</f>
        <v>-53565.359371543964</v>
      </c>
      <c r="M31" s="7">
        <f>-'Capital Deployment &amp; Debt Repay'!M21</f>
        <v>-88989.260244374862</v>
      </c>
      <c r="O31" s="7">
        <f>SUM(J31:M31)</f>
        <v>-196710.39298125959</v>
      </c>
      <c r="Q31" s="7">
        <f>-'Capital Deployment &amp; Debt Repay'!Q21</f>
        <v>-122017.15610481749</v>
      </c>
      <c r="R31" s="7">
        <f>-'Capital Deployment &amp; Debt Repay'!R21</f>
        <v>-154503.45133705891</v>
      </c>
      <c r="S31" s="7">
        <f>-'Capital Deployment &amp; Debt Repay'!S21</f>
        <v>-203700.61051704595</v>
      </c>
      <c r="T31" s="7">
        <f>-'Capital Deployment &amp; Debt Repay'!T21</f>
        <v>-252091.0209889051</v>
      </c>
      <c r="V31" s="7">
        <f>SUM(Q31:T31)</f>
        <v>-732312.23894782749</v>
      </c>
      <c r="X31" s="7">
        <f>-'Capital Deployment &amp; Debt Repay'!X21</f>
        <v>-297101.37455375859</v>
      </c>
      <c r="Y31" s="7">
        <f>-'Capital Deployment &amp; Debt Repay'!Y21</f>
        <v>-357755.03990938544</v>
      </c>
      <c r="Z31" s="7">
        <f>-'Capital Deployment &amp; Debt Repay'!Z21</f>
        <v>-417414.08958019508</v>
      </c>
      <c r="AA31" s="7">
        <f>-'Capital Deployment &amp; Debt Repay'!AA21</f>
        <v>-492476.23764620372</v>
      </c>
      <c r="AC31" s="7">
        <f>SUM(X31:AA31)</f>
        <v>-1564746.7416895428</v>
      </c>
      <c r="AE31" s="7">
        <f>-'Capital Deployment &amp; Debt Repay'!AE21</f>
        <v>-562212.14469413203</v>
      </c>
      <c r="AF31" s="7">
        <f>-'Capital Deployment &amp; Debt Repay'!AF21</f>
        <v>-630804.50293032499</v>
      </c>
      <c r="AG31" s="7">
        <f>-'Capital Deployment &amp; Debt Repay'!AG21</f>
        <v>-698272.06458645407</v>
      </c>
      <c r="AH31" s="7">
        <f>-'Capital Deployment &amp; Debt Repay'!AH21</f>
        <v>-764633.27438987792</v>
      </c>
      <c r="AJ31" s="7">
        <f>SUM(AE31:AH31)</f>
        <v>-2655921.9866007892</v>
      </c>
    </row>
    <row r="32" spans="2:36" x14ac:dyDescent="0.2">
      <c r="B32" s="45" t="s">
        <v>108</v>
      </c>
      <c r="C32" s="24">
        <f>SUM(C28:C31)</f>
        <v>1500000</v>
      </c>
      <c r="D32" s="24">
        <f t="shared" ref="D32:H32" si="52">SUM(D28:D31)</f>
        <v>0</v>
      </c>
      <c r="E32" s="24">
        <f t="shared" si="52"/>
        <v>0</v>
      </c>
      <c r="F32" s="25">
        <f t="shared" si="52"/>
        <v>0</v>
      </c>
      <c r="G32" s="8"/>
      <c r="H32" s="26">
        <f t="shared" si="52"/>
        <v>0</v>
      </c>
      <c r="J32" s="29">
        <f t="shared" ref="J32" si="53">SUM(J28:J31)</f>
        <v>2389405.8733132728</v>
      </c>
      <c r="K32" s="24">
        <f t="shared" ref="K32" si="54">SUM(K28:K31)</f>
        <v>856670.00800345163</v>
      </c>
      <c r="L32" s="24">
        <f t="shared" ref="L32" si="55">SUM(L28:L31)</f>
        <v>824470.95452358818</v>
      </c>
      <c r="M32" s="25">
        <f t="shared" ref="M32" si="56">SUM(M28:M31)</f>
        <v>1682205.78339717</v>
      </c>
      <c r="N32" s="8"/>
      <c r="O32" s="26">
        <f t="shared" ref="O32" si="57">SUM(O28:O31)</f>
        <v>4252752.6192374835</v>
      </c>
      <c r="Q32" s="29">
        <f t="shared" ref="Q32" si="58">SUM(Q28:Q31)</f>
        <v>1529377.6369173131</v>
      </c>
      <c r="R32" s="24">
        <f t="shared" ref="R32" si="59">SUM(R28:R31)</f>
        <v>1469811.3102750131</v>
      </c>
      <c r="S32" s="24">
        <f t="shared" ref="S32" si="60">SUM(S28:S31)</f>
        <v>2256157.3484823047</v>
      </c>
      <c r="T32" s="25">
        <f t="shared" ref="T32" si="61">SUM(T28:T31)</f>
        <v>2167429.5026040515</v>
      </c>
      <c r="U32" s="8"/>
      <c r="V32" s="26">
        <f t="shared" ref="V32" si="62">SUM(V28:V31)</f>
        <v>7422775.7982786829</v>
      </c>
      <c r="X32" s="29">
        <f t="shared" ref="X32" si="63">SUM(X28:X31)</f>
        <v>1953416.303688915</v>
      </c>
      <c r="Y32" s="24">
        <f t="shared" ref="Y32" si="64">SUM(Y28:Y31)</f>
        <v>2674928.2278719628</v>
      </c>
      <c r="Z32" s="24">
        <f t="shared" ref="Z32" si="65">SUM(Z28:Z31)</f>
        <v>2565538.3939602845</v>
      </c>
      <c r="AA32" s="25">
        <f t="shared" ref="AA32" si="66">SUM(AA28:AA31)</f>
        <v>3260631.1656542318</v>
      </c>
      <c r="AB32" s="8"/>
      <c r="AC32" s="26">
        <f t="shared" ref="AC32" si="67">SUM(AC28:AC31)</f>
        <v>10454514.091175394</v>
      </c>
      <c r="AE32" s="29">
        <f t="shared" ref="AE32" si="68">SUM(AE28:AE31)</f>
        <v>2924583.2077022865</v>
      </c>
      <c r="AF32" s="24">
        <f t="shared" ref="AF32" si="69">SUM(AF28:AF31)</f>
        <v>2798813.4088793127</v>
      </c>
      <c r="AG32" s="24">
        <f t="shared" ref="AG32" si="70">SUM(AG28:AG31)</f>
        <v>2675106.0182200046</v>
      </c>
      <c r="AH32" s="25">
        <f t="shared" ref="AH32" si="71">SUM(AH28:AH31)</f>
        <v>2553427.2157813115</v>
      </c>
      <c r="AI32" s="8"/>
      <c r="AJ32" s="26">
        <f t="shared" ref="AJ32" si="72">SUM(AJ28:AJ31)</f>
        <v>10951929.850582913</v>
      </c>
    </row>
    <row r="33" spans="2:36" x14ac:dyDescent="0.2">
      <c r="B33" s="39"/>
      <c r="C33" s="9"/>
      <c r="D33" s="9"/>
      <c r="E33" s="9"/>
      <c r="F33" s="9"/>
      <c r="H33" s="9"/>
      <c r="J33" s="9"/>
      <c r="K33" s="9"/>
      <c r="L33" s="9"/>
      <c r="M33" s="9"/>
      <c r="O33" s="9"/>
      <c r="Q33" s="9"/>
      <c r="R33" s="9"/>
      <c r="S33" s="9"/>
      <c r="T33" s="9"/>
      <c r="V33" s="9"/>
      <c r="X33" s="9"/>
      <c r="Y33" s="9"/>
      <c r="Z33" s="9"/>
      <c r="AA33" s="9"/>
      <c r="AC33" s="9"/>
      <c r="AE33" s="9"/>
      <c r="AF33" s="9"/>
      <c r="AG33" s="9"/>
      <c r="AH33" s="9"/>
      <c r="AJ33" s="9"/>
    </row>
    <row r="34" spans="2:36" x14ac:dyDescent="0.2">
      <c r="B34" s="41" t="s">
        <v>113</v>
      </c>
      <c r="C34" s="73">
        <f>C32+C25+C19</f>
        <v>1418440.2777777778</v>
      </c>
      <c r="D34" s="73">
        <f t="shared" ref="D34:H34" si="73">D32+D25+D19</f>
        <v>-197375</v>
      </c>
      <c r="E34" s="73">
        <f t="shared" si="73"/>
        <v>-67559.722222222219</v>
      </c>
      <c r="F34" s="73">
        <f t="shared" si="73"/>
        <v>9625</v>
      </c>
      <c r="H34" s="73">
        <f t="shared" si="73"/>
        <v>-336869.4444444445</v>
      </c>
      <c r="J34" s="73">
        <f>J32+J25+J19</f>
        <v>1044197.2484861242</v>
      </c>
      <c r="K34" s="73">
        <f t="shared" ref="K34:O34" si="74">K32+K25+K19</f>
        <v>-1319521.4773571307</v>
      </c>
      <c r="L34" s="73">
        <f t="shared" si="74"/>
        <v>436520.30953876756</v>
      </c>
      <c r="M34" s="73">
        <f t="shared" si="74"/>
        <v>314090.79540726519</v>
      </c>
      <c r="O34" s="73">
        <f t="shared" si="74"/>
        <v>-1024713.123924973</v>
      </c>
      <c r="Q34" s="73">
        <f>Q32+Q25+Q19</f>
        <v>916397.02480789297</v>
      </c>
      <c r="R34" s="73">
        <f t="shared" ref="R34:V34" si="75">R32+R25+R19</f>
        <v>1166172.1811039217</v>
      </c>
      <c r="S34" s="73">
        <f t="shared" si="75"/>
        <v>987397.35233402532</v>
      </c>
      <c r="T34" s="73">
        <f t="shared" si="75"/>
        <v>1125524.9390873783</v>
      </c>
      <c r="V34" s="73">
        <f t="shared" si="75"/>
        <v>4195491.4973332183</v>
      </c>
      <c r="X34" s="73">
        <f>X32+X25+X19</f>
        <v>1509988.3900194545</v>
      </c>
      <c r="Y34" s="73">
        <f t="shared" ref="Y34:AC34" si="76">Y32+Y25+Y19</f>
        <v>2907702.9131453689</v>
      </c>
      <c r="Z34" s="73">
        <f t="shared" si="76"/>
        <v>3487133.8869159832</v>
      </c>
      <c r="AA34" s="73">
        <f t="shared" si="76"/>
        <v>3453022.9089859203</v>
      </c>
      <c r="AC34" s="73">
        <f t="shared" si="76"/>
        <v>11357848.099066721</v>
      </c>
      <c r="AE34" s="73">
        <f>AE32+AE25+AE19</f>
        <v>4202644.1438412396</v>
      </c>
      <c r="AF34" s="73">
        <f t="shared" ref="AF34:AJ34" si="77">AF32+AF25+AF19</f>
        <v>4598947.9643854853</v>
      </c>
      <c r="AG34" s="73">
        <f t="shared" si="77"/>
        <v>4934272.7042258428</v>
      </c>
      <c r="AH34" s="73">
        <f t="shared" si="77"/>
        <v>5248821.3840284832</v>
      </c>
      <c r="AJ34" s="73">
        <f t="shared" si="77"/>
        <v>18984686.196481045</v>
      </c>
    </row>
    <row r="35" spans="2:36" ht="16" thickBot="1" x14ac:dyDescent="0.25">
      <c r="B35" s="39" t="s">
        <v>114</v>
      </c>
      <c r="C35" s="72">
        <v>0</v>
      </c>
      <c r="D35" s="7">
        <f>C36</f>
        <v>1418440.2777777778</v>
      </c>
      <c r="E35" s="7">
        <f t="shared" ref="E35:F35" si="78">D36</f>
        <v>1221065.2777777778</v>
      </c>
      <c r="F35" s="7">
        <f t="shared" si="78"/>
        <v>1153505.5555555555</v>
      </c>
      <c r="H35" s="7">
        <f>C35</f>
        <v>0</v>
      </c>
      <c r="J35" s="7">
        <f>F36</f>
        <v>1163130.5555555555</v>
      </c>
      <c r="K35" s="7">
        <f>J36</f>
        <v>2207327.8040416799</v>
      </c>
      <c r="L35" s="7">
        <f t="shared" ref="L35:M35" si="79">K36</f>
        <v>887806.32668454922</v>
      </c>
      <c r="M35" s="7">
        <f t="shared" si="79"/>
        <v>1324326.6362233167</v>
      </c>
      <c r="O35" s="7">
        <f>J35</f>
        <v>1163130.5555555555</v>
      </c>
      <c r="Q35" s="7">
        <f>M36</f>
        <v>1638417.4316305819</v>
      </c>
      <c r="R35" s="7">
        <f>Q36</f>
        <v>2554814.4564384748</v>
      </c>
      <c r="S35" s="7">
        <f t="shared" ref="S35:T35" si="80">R36</f>
        <v>3720986.6375423968</v>
      </c>
      <c r="T35" s="7">
        <f t="shared" si="80"/>
        <v>4708383.9898764221</v>
      </c>
      <c r="V35" s="7">
        <f>Q35</f>
        <v>1638417.4316305819</v>
      </c>
      <c r="X35" s="7">
        <f>T36</f>
        <v>5833908.9289638009</v>
      </c>
      <c r="Y35" s="7">
        <f>X36</f>
        <v>7343897.318983255</v>
      </c>
      <c r="Z35" s="7">
        <f t="shared" ref="Z35:AA35" si="81">Y36</f>
        <v>10251600.232128624</v>
      </c>
      <c r="AA35" s="7">
        <f t="shared" si="81"/>
        <v>13738734.119044608</v>
      </c>
      <c r="AC35" s="7">
        <f>X35</f>
        <v>5833908.9289638009</v>
      </c>
      <c r="AE35" s="7">
        <f>AA36</f>
        <v>17191757.02803053</v>
      </c>
      <c r="AF35" s="7">
        <f>AE36</f>
        <v>21394401.17187177</v>
      </c>
      <c r="AG35" s="7">
        <f t="shared" ref="AG35:AH35" si="82">AF36</f>
        <v>25993349.136257254</v>
      </c>
      <c r="AH35" s="7">
        <f t="shared" si="82"/>
        <v>30927621.840483095</v>
      </c>
      <c r="AJ35" s="7">
        <f>AE35</f>
        <v>17191757.02803053</v>
      </c>
    </row>
    <row r="36" spans="2:36" ht="16" thickBot="1" x14ac:dyDescent="0.25">
      <c r="B36" s="75" t="s">
        <v>115</v>
      </c>
      <c r="C36" s="11">
        <f>C34+C35</f>
        <v>1418440.2777777778</v>
      </c>
      <c r="D36" s="11">
        <f t="shared" ref="D36:F36" si="83">D34+D35</f>
        <v>1221065.2777777778</v>
      </c>
      <c r="E36" s="11">
        <f t="shared" si="83"/>
        <v>1153505.5555555555</v>
      </c>
      <c r="F36" s="12">
        <f t="shared" si="83"/>
        <v>1163130.5555555555</v>
      </c>
      <c r="H36" s="13">
        <f>F36</f>
        <v>1163130.5555555555</v>
      </c>
      <c r="J36" s="14">
        <f t="shared" ref="J36" si="84">J34+J35</f>
        <v>2207327.8040416799</v>
      </c>
      <c r="K36" s="11">
        <f t="shared" ref="K36" si="85">K34+K35</f>
        <v>887806.32668454922</v>
      </c>
      <c r="L36" s="11">
        <f t="shared" ref="L36" si="86">L34+L35</f>
        <v>1324326.6362233167</v>
      </c>
      <c r="M36" s="12">
        <f t="shared" ref="M36" si="87">M34+M35</f>
        <v>1638417.4316305819</v>
      </c>
      <c r="O36" s="13">
        <f>M36</f>
        <v>1638417.4316305819</v>
      </c>
      <c r="Q36" s="14">
        <f t="shared" ref="Q36" si="88">Q34+Q35</f>
        <v>2554814.4564384748</v>
      </c>
      <c r="R36" s="11">
        <f t="shared" ref="R36" si="89">R34+R35</f>
        <v>3720986.6375423968</v>
      </c>
      <c r="S36" s="11">
        <f t="shared" ref="S36" si="90">S34+S35</f>
        <v>4708383.9898764221</v>
      </c>
      <c r="T36" s="12">
        <f t="shared" ref="T36" si="91">T34+T35</f>
        <v>5833908.9289638009</v>
      </c>
      <c r="V36" s="13">
        <f>T36</f>
        <v>5833908.9289638009</v>
      </c>
      <c r="X36" s="14">
        <f t="shared" ref="X36" si="92">X34+X35</f>
        <v>7343897.318983255</v>
      </c>
      <c r="Y36" s="11">
        <f t="shared" ref="Y36" si="93">Y34+Y35</f>
        <v>10251600.232128624</v>
      </c>
      <c r="Z36" s="11">
        <f t="shared" ref="Z36" si="94">Z34+Z35</f>
        <v>13738734.119044608</v>
      </c>
      <c r="AA36" s="12">
        <f t="shared" ref="AA36" si="95">AA34+AA35</f>
        <v>17191757.02803053</v>
      </c>
      <c r="AC36" s="13">
        <f>AA36</f>
        <v>17191757.02803053</v>
      </c>
      <c r="AE36" s="14">
        <f t="shared" ref="AE36" si="96">AE34+AE35</f>
        <v>21394401.17187177</v>
      </c>
      <c r="AF36" s="11">
        <f t="shared" ref="AF36" si="97">AF34+AF35</f>
        <v>25993349.136257254</v>
      </c>
      <c r="AG36" s="11">
        <f t="shared" ref="AG36" si="98">AG34+AG35</f>
        <v>30927621.840483095</v>
      </c>
      <c r="AH36" s="12">
        <f t="shared" ref="AH36" si="99">AH34+AH35</f>
        <v>36176443.224511579</v>
      </c>
      <c r="AJ36" s="13">
        <f>AH36</f>
        <v>36176443.224511579</v>
      </c>
    </row>
    <row r="37" spans="2:36" x14ac:dyDescent="0.2">
      <c r="C37" s="7"/>
      <c r="D37" s="7"/>
      <c r="E37" s="7"/>
      <c r="F37" s="7"/>
      <c r="H37" s="7"/>
      <c r="J37" s="7"/>
      <c r="K37" s="7"/>
      <c r="L37" s="7"/>
      <c r="M37" s="7"/>
      <c r="O37" s="7"/>
      <c r="Q37" s="7"/>
      <c r="R37" s="7"/>
      <c r="S37" s="7"/>
      <c r="T37" s="7"/>
      <c r="V37" s="7"/>
      <c r="X37" s="7"/>
      <c r="Y37" s="7"/>
      <c r="Z37" s="7"/>
      <c r="AA37" s="7"/>
      <c r="AC37" s="7"/>
      <c r="AE37" s="7"/>
      <c r="AF37" s="7"/>
      <c r="AG37" s="7"/>
      <c r="AH37" s="7"/>
      <c r="AJ37" s="7"/>
    </row>
    <row r="38" spans="2:36" x14ac:dyDescent="0.2">
      <c r="B38" s="8"/>
      <c r="C38" s="9"/>
      <c r="D38" s="9"/>
      <c r="E38" s="9"/>
      <c r="F38" s="9"/>
      <c r="H38" s="9"/>
      <c r="J38" s="9"/>
      <c r="K38" s="9"/>
      <c r="L38" s="9"/>
      <c r="M38" s="9"/>
      <c r="O38" s="9"/>
      <c r="Q38" s="9"/>
      <c r="R38" s="9"/>
      <c r="S38" s="9"/>
      <c r="T38" s="9"/>
      <c r="V38" s="9"/>
      <c r="X38" s="9"/>
      <c r="Y38" s="9"/>
      <c r="Z38" s="9"/>
      <c r="AA38" s="9"/>
      <c r="AC38" s="9"/>
      <c r="AE38" s="9"/>
      <c r="AF38" s="9"/>
      <c r="AG38" s="9"/>
      <c r="AH38" s="9"/>
      <c r="AJ38" s="9"/>
    </row>
    <row r="39" spans="2:36" x14ac:dyDescent="0.2">
      <c r="B39" s="27"/>
      <c r="C39" s="38"/>
      <c r="D39" s="38"/>
      <c r="E39" s="38"/>
      <c r="F39" s="38"/>
      <c r="H39" s="38"/>
      <c r="J39" s="38"/>
      <c r="K39" s="38"/>
      <c r="L39" s="38"/>
      <c r="M39" s="38"/>
      <c r="O39" s="38"/>
      <c r="Q39" s="38"/>
      <c r="R39" s="38"/>
      <c r="S39" s="38"/>
      <c r="T39" s="38"/>
      <c r="V39" s="38"/>
      <c r="X39" s="38"/>
      <c r="Y39" s="38"/>
      <c r="Z39" s="38"/>
      <c r="AA39" s="38"/>
      <c r="AC39" s="38"/>
      <c r="AE39" s="38"/>
      <c r="AF39" s="38"/>
      <c r="AG39" s="38"/>
      <c r="AH39" s="38"/>
      <c r="AJ39" s="38"/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46D2B-8B9C-416C-9E3B-F1F1E0C616F2}">
  <sheetPr>
    <tabColor rgb="FF00B0F0"/>
  </sheetPr>
  <dimension ref="A1:AJ46"/>
  <sheetViews>
    <sheetView showGridLines="0" zoomScale="85" zoomScaleNormal="85" workbookViewId="0">
      <pane xSplit="2" ySplit="6" topLeftCell="C7" activePane="bottomRight" state="frozen"/>
      <selection activeCell="H9" sqref="H9"/>
      <selection pane="topRight" activeCell="H9" sqref="H9"/>
      <selection pane="bottomLeft" activeCell="H9" sqref="H9"/>
      <selection pane="bottomRight" activeCell="F49" sqref="F49"/>
    </sheetView>
  </sheetViews>
  <sheetFormatPr baseColWidth="10" defaultColWidth="3.1640625" defaultRowHeight="15" x14ac:dyDescent="0.2"/>
  <cols>
    <col min="2" max="2" width="35" style="5" customWidth="1"/>
    <col min="3" max="6" width="10.83203125" style="5" bestFit="1" customWidth="1"/>
    <col min="7" max="7" width="3.1640625" style="5"/>
    <col min="8" max="8" width="10.5" style="5" bestFit="1" customWidth="1"/>
    <col min="9" max="9" width="3.1640625" style="5"/>
    <col min="10" max="13" width="11.5" style="5" bestFit="1" customWidth="1"/>
    <col min="14" max="14" width="3.1640625" style="5"/>
    <col min="15" max="15" width="11.5" style="5" bestFit="1" customWidth="1"/>
    <col min="16" max="16" width="3.1640625" style="5"/>
    <col min="17" max="20" width="11.5" style="5" bestFit="1" customWidth="1"/>
    <col min="21" max="21" width="3.1640625" style="5"/>
    <col min="22" max="22" width="11.5" style="5" bestFit="1" customWidth="1"/>
    <col min="23" max="23" width="3.1640625" style="5"/>
    <col min="24" max="27" width="11.5" style="5" bestFit="1" customWidth="1"/>
    <col min="28" max="28" width="3.1640625" style="5"/>
    <col min="29" max="29" width="11.5" style="5" bestFit="1" customWidth="1"/>
    <col min="30" max="30" width="3.1640625" style="5"/>
    <col min="31" max="34" width="11.5" style="5" bestFit="1" customWidth="1"/>
    <col min="35" max="35" width="3.1640625" style="5"/>
    <col min="36" max="36" width="11.5" style="5" bestFit="1" customWidth="1"/>
    <col min="37" max="48" width="3.1640625" style="5"/>
    <col min="49" max="49" width="3.1640625" style="5" customWidth="1"/>
    <col min="50" max="16384" width="3.1640625" style="5"/>
  </cols>
  <sheetData>
    <row r="1" spans="2:36" ht="20" x14ac:dyDescent="0.25">
      <c r="B1" s="34" t="s">
        <v>147</v>
      </c>
    </row>
    <row r="2" spans="2:36" x14ac:dyDescent="0.2">
      <c r="B2" s="8" t="str">
        <f>'Assumption Sheet'!B2</f>
        <v>Updated on 01 Feb 2026</v>
      </c>
    </row>
    <row r="6" spans="2:36" x14ac:dyDescent="0.2">
      <c r="B6" s="20" t="s">
        <v>0</v>
      </c>
      <c r="C6" s="4" t="str">
        <f>'P&amp;L Assumption Sheet'!C6</f>
        <v>FY26-27 Q1</v>
      </c>
      <c r="D6" s="4" t="str">
        <f>'P&amp;L Assumption Sheet'!D6</f>
        <v>FY26-27 Q2</v>
      </c>
      <c r="E6" s="4" t="str">
        <f>'P&amp;L Assumption Sheet'!E6</f>
        <v>FY26-27 Q3</v>
      </c>
      <c r="F6" s="4" t="str">
        <f>'P&amp;L Assumption Sheet'!F6</f>
        <v>FY26-27 Q4</v>
      </c>
      <c r="G6" s="1"/>
      <c r="H6" s="2" t="str">
        <f>'P&amp;L Assumption Sheet'!H6</f>
        <v>FY26-27</v>
      </c>
      <c r="I6" s="1"/>
      <c r="J6" s="4" t="str">
        <f>'P&amp;L Assumption Sheet'!J6</f>
        <v>FY27-28 Q1</v>
      </c>
      <c r="K6" s="4" t="str">
        <f>'P&amp;L Assumption Sheet'!K6</f>
        <v>FY27-28 Q2</v>
      </c>
      <c r="L6" s="4" t="str">
        <f>'P&amp;L Assumption Sheet'!L6</f>
        <v>FY27-28 Q3</v>
      </c>
      <c r="M6" s="4" t="str">
        <f>'P&amp;L Assumption Sheet'!M6</f>
        <v>FY27-28 Q4</v>
      </c>
      <c r="N6" s="1"/>
      <c r="O6" s="2" t="str">
        <f>'P&amp;L Assumption Sheet'!O6</f>
        <v>FY27-28</v>
      </c>
      <c r="P6" s="1"/>
      <c r="Q6" s="4" t="str">
        <f>'P&amp;L Assumption Sheet'!Q6</f>
        <v>FY28-29 Q1</v>
      </c>
      <c r="R6" s="4" t="str">
        <f>'P&amp;L Assumption Sheet'!R6</f>
        <v>FY28-29 Q2</v>
      </c>
      <c r="S6" s="4" t="str">
        <f>'P&amp;L Assumption Sheet'!S6</f>
        <v>FY28-29 Q3</v>
      </c>
      <c r="T6" s="4" t="str">
        <f>'P&amp;L Assumption Sheet'!T6</f>
        <v>FY28-29 Q4</v>
      </c>
      <c r="U6" s="1"/>
      <c r="V6" s="2" t="str">
        <f>'P&amp;L Assumption Sheet'!V6</f>
        <v>FY28-29</v>
      </c>
      <c r="W6" s="1"/>
      <c r="X6" s="4" t="str">
        <f>'P&amp;L Assumption Sheet'!X6</f>
        <v>FY29-30 Q1</v>
      </c>
      <c r="Y6" s="4" t="str">
        <f>'P&amp;L Assumption Sheet'!Y6</f>
        <v>FY29-30 Q2</v>
      </c>
      <c r="Z6" s="4" t="str">
        <f>'P&amp;L Assumption Sheet'!Z6</f>
        <v>FY29-30 Q3</v>
      </c>
      <c r="AA6" s="4" t="str">
        <f>'P&amp;L Assumption Sheet'!AA6</f>
        <v>FY29-30 Q4</v>
      </c>
      <c r="AB6" s="3"/>
      <c r="AC6" s="2" t="str">
        <f>'P&amp;L Assumption Sheet'!AC6</f>
        <v>FY29-30</v>
      </c>
      <c r="AD6" s="1"/>
      <c r="AE6" s="4" t="str">
        <f>'P&amp;L Assumption Sheet'!AE6</f>
        <v>FY30-31 Q1</v>
      </c>
      <c r="AF6" s="4" t="str">
        <f>'P&amp;L Assumption Sheet'!AF6</f>
        <v>FY30-31 Q2</v>
      </c>
      <c r="AG6" s="4" t="str">
        <f>'P&amp;L Assumption Sheet'!AG6</f>
        <v>FY30-31 Q3</v>
      </c>
      <c r="AH6" s="4" t="str">
        <f>'P&amp;L Assumption Sheet'!AH6</f>
        <v>FY30-31 Q4</v>
      </c>
      <c r="AI6" s="1"/>
      <c r="AJ6" s="2" t="str">
        <f>'P&amp;L Assumption Sheet'!AJ6</f>
        <v>FY30-31</v>
      </c>
    </row>
    <row r="7" spans="2:36" x14ac:dyDescent="0.2">
      <c r="B7" s="69" t="s">
        <v>128</v>
      </c>
      <c r="C7" s="7"/>
      <c r="D7" s="7"/>
      <c r="E7" s="7"/>
      <c r="F7" s="7"/>
      <c r="H7" s="7"/>
      <c r="J7" s="7"/>
      <c r="K7" s="7"/>
      <c r="L7" s="7"/>
      <c r="M7" s="7"/>
      <c r="O7" s="7"/>
      <c r="Q7" s="7"/>
      <c r="R7" s="7"/>
      <c r="S7" s="7"/>
      <c r="T7" s="7"/>
      <c r="V7" s="7"/>
      <c r="X7" s="7"/>
      <c r="Y7" s="7"/>
      <c r="Z7" s="7"/>
      <c r="AA7" s="7"/>
      <c r="AC7" s="7"/>
      <c r="AE7" s="7"/>
      <c r="AF7" s="7"/>
      <c r="AG7" s="7"/>
      <c r="AH7" s="7"/>
      <c r="AJ7" s="7"/>
    </row>
    <row r="8" spans="2:36" x14ac:dyDescent="0.2">
      <c r="B8" s="8" t="s">
        <v>149</v>
      </c>
      <c r="C8" s="7"/>
      <c r="D8" s="7"/>
      <c r="E8" s="7"/>
      <c r="F8" s="7"/>
      <c r="H8" s="7"/>
      <c r="J8" s="7"/>
      <c r="K8" s="7"/>
      <c r="L8" s="7"/>
      <c r="M8" s="7"/>
      <c r="O8" s="7"/>
      <c r="Q8" s="7"/>
      <c r="R8" s="7"/>
      <c r="S8" s="7"/>
      <c r="T8" s="7"/>
      <c r="V8" s="7"/>
      <c r="X8" s="7"/>
      <c r="Y8" s="7"/>
      <c r="Z8" s="7"/>
      <c r="AA8" s="7"/>
      <c r="AC8" s="7"/>
      <c r="AE8" s="7"/>
      <c r="AF8" s="7"/>
      <c r="AG8" s="7"/>
      <c r="AH8" s="7"/>
      <c r="AJ8" s="7"/>
    </row>
    <row r="9" spans="2:36" x14ac:dyDescent="0.2">
      <c r="B9" s="5" t="s">
        <v>150</v>
      </c>
      <c r="C9" s="7">
        <v>0</v>
      </c>
      <c r="D9" s="76">
        <v>200000</v>
      </c>
      <c r="E9" s="7">
        <f>D9</f>
        <v>200000</v>
      </c>
      <c r="F9" s="7">
        <f>E9</f>
        <v>200000</v>
      </c>
      <c r="H9" s="7">
        <f>F9</f>
        <v>200000</v>
      </c>
      <c r="J9" s="7">
        <f>F9</f>
        <v>200000</v>
      </c>
      <c r="K9" s="76">
        <f>J9+1320000</f>
        <v>1520000</v>
      </c>
      <c r="L9" s="7">
        <f>K9</f>
        <v>1520000</v>
      </c>
      <c r="M9" s="7">
        <f>L9</f>
        <v>1520000</v>
      </c>
      <c r="O9" s="7">
        <f>M9</f>
        <v>1520000</v>
      </c>
      <c r="Q9" s="7">
        <f>M9</f>
        <v>1520000</v>
      </c>
      <c r="R9" s="7">
        <f>Q9</f>
        <v>1520000</v>
      </c>
      <c r="S9" s="7">
        <f>R9</f>
        <v>1520000</v>
      </c>
      <c r="T9" s="7">
        <f>S9</f>
        <v>1520000</v>
      </c>
      <c r="V9" s="7">
        <f>T9</f>
        <v>1520000</v>
      </c>
      <c r="X9" s="7">
        <f>T9</f>
        <v>1520000</v>
      </c>
      <c r="Y9" s="7">
        <f>X9</f>
        <v>1520000</v>
      </c>
      <c r="Z9" s="7">
        <f>Y9</f>
        <v>1520000</v>
      </c>
      <c r="AA9" s="7">
        <f>Z9</f>
        <v>1520000</v>
      </c>
      <c r="AC9" s="7">
        <f>AA9</f>
        <v>1520000</v>
      </c>
      <c r="AE9" s="7">
        <f>AA9</f>
        <v>1520000</v>
      </c>
      <c r="AF9" s="7">
        <f>AE9</f>
        <v>1520000</v>
      </c>
      <c r="AG9" s="7">
        <f>AF9</f>
        <v>1520000</v>
      </c>
      <c r="AH9" s="7">
        <f>AG9</f>
        <v>1520000</v>
      </c>
      <c r="AJ9" s="7">
        <f>AH9</f>
        <v>1520000</v>
      </c>
    </row>
    <row r="10" spans="2:36" x14ac:dyDescent="0.2">
      <c r="B10" s="23" t="s">
        <v>154</v>
      </c>
      <c r="C10" s="24">
        <f>SUM(C9)</f>
        <v>0</v>
      </c>
      <c r="D10" s="24">
        <f t="shared" ref="D10:H10" si="0">SUM(D9)</f>
        <v>200000</v>
      </c>
      <c r="E10" s="24">
        <f t="shared" si="0"/>
        <v>200000</v>
      </c>
      <c r="F10" s="25">
        <f t="shared" si="0"/>
        <v>200000</v>
      </c>
      <c r="H10" s="26">
        <f t="shared" si="0"/>
        <v>200000</v>
      </c>
      <c r="J10" s="29">
        <f>SUM(J9)</f>
        <v>200000</v>
      </c>
      <c r="K10" s="24">
        <f t="shared" ref="K10" si="1">SUM(K9)</f>
        <v>1520000</v>
      </c>
      <c r="L10" s="24">
        <f t="shared" ref="L10" si="2">SUM(L9)</f>
        <v>1520000</v>
      </c>
      <c r="M10" s="25">
        <f t="shared" ref="M10" si="3">SUM(M9)</f>
        <v>1520000</v>
      </c>
      <c r="O10" s="26">
        <f t="shared" ref="O10" si="4">SUM(O9)</f>
        <v>1520000</v>
      </c>
      <c r="Q10" s="29">
        <f>SUM(Q9)</f>
        <v>1520000</v>
      </c>
      <c r="R10" s="24">
        <f t="shared" ref="R10" si="5">SUM(R9)</f>
        <v>1520000</v>
      </c>
      <c r="S10" s="24">
        <f t="shared" ref="S10" si="6">SUM(S9)</f>
        <v>1520000</v>
      </c>
      <c r="T10" s="25">
        <f t="shared" ref="T10" si="7">SUM(T9)</f>
        <v>1520000</v>
      </c>
      <c r="V10" s="26">
        <f t="shared" ref="V10" si="8">SUM(V9)</f>
        <v>1520000</v>
      </c>
      <c r="X10" s="29">
        <f>SUM(X9)</f>
        <v>1520000</v>
      </c>
      <c r="Y10" s="24">
        <f t="shared" ref="Y10" si="9">SUM(Y9)</f>
        <v>1520000</v>
      </c>
      <c r="Z10" s="24">
        <f t="shared" ref="Z10" si="10">SUM(Z9)</f>
        <v>1520000</v>
      </c>
      <c r="AA10" s="25">
        <f t="shared" ref="AA10" si="11">SUM(AA9)</f>
        <v>1520000</v>
      </c>
      <c r="AC10" s="26">
        <f t="shared" ref="AC10" si="12">SUM(AC9)</f>
        <v>1520000</v>
      </c>
      <c r="AE10" s="29">
        <f>SUM(AE9)</f>
        <v>1520000</v>
      </c>
      <c r="AF10" s="24">
        <f t="shared" ref="AF10" si="13">SUM(AF9)</f>
        <v>1520000</v>
      </c>
      <c r="AG10" s="24">
        <f t="shared" ref="AG10" si="14">SUM(AG9)</f>
        <v>1520000</v>
      </c>
      <c r="AH10" s="25">
        <f t="shared" ref="AH10" si="15">SUM(AH9)</f>
        <v>1520000</v>
      </c>
      <c r="AJ10" s="26">
        <f t="shared" ref="AJ10" si="16">SUM(AJ9)</f>
        <v>1520000</v>
      </c>
    </row>
    <row r="11" spans="2:36" x14ac:dyDescent="0.2">
      <c r="C11" s="7"/>
      <c r="D11" s="7"/>
      <c r="E11" s="7"/>
      <c r="F11" s="7"/>
      <c r="H11" s="7"/>
      <c r="J11" s="7"/>
      <c r="K11" s="7"/>
      <c r="L11" s="7"/>
      <c r="M11" s="7"/>
      <c r="O11" s="7"/>
      <c r="Q11" s="7"/>
      <c r="R11" s="7"/>
      <c r="S11" s="7"/>
      <c r="T11" s="7"/>
      <c r="V11" s="7"/>
      <c r="X11" s="7"/>
      <c r="Y11" s="7"/>
      <c r="Z11" s="7"/>
      <c r="AA11" s="7"/>
      <c r="AC11" s="7"/>
      <c r="AE11" s="7"/>
      <c r="AF11" s="7"/>
      <c r="AG11" s="7"/>
      <c r="AH11" s="7"/>
      <c r="AJ11" s="7"/>
    </row>
    <row r="12" spans="2:36" x14ac:dyDescent="0.2">
      <c r="B12" s="8" t="s">
        <v>129</v>
      </c>
      <c r="C12" s="7"/>
      <c r="D12" s="7"/>
      <c r="E12" s="7"/>
      <c r="F12" s="7"/>
      <c r="H12" s="7"/>
      <c r="J12" s="7"/>
      <c r="K12" s="7"/>
      <c r="L12" s="7"/>
      <c r="M12" s="7"/>
      <c r="O12" s="7"/>
      <c r="Q12" s="7"/>
      <c r="R12" s="7"/>
      <c r="S12" s="7"/>
      <c r="T12" s="7"/>
      <c r="V12" s="7"/>
      <c r="X12" s="7"/>
      <c r="Y12" s="7"/>
      <c r="Z12" s="7"/>
      <c r="AA12" s="7"/>
      <c r="AC12" s="7"/>
      <c r="AE12" s="7"/>
      <c r="AF12" s="7"/>
      <c r="AG12" s="7"/>
      <c r="AH12" s="7"/>
      <c r="AJ12" s="7"/>
    </row>
    <row r="13" spans="2:36" x14ac:dyDescent="0.2">
      <c r="B13" s="5" t="s">
        <v>103</v>
      </c>
      <c r="C13" s="7">
        <f>'Working Capital Assumptions'!C7</f>
        <v>116666.66666666667</v>
      </c>
      <c r="D13" s="7">
        <f>'Working Capital Assumptions'!D7</f>
        <v>116666.66666666667</v>
      </c>
      <c r="E13" s="7">
        <f>'Working Capital Assumptions'!E7</f>
        <v>233333.33333333334</v>
      </c>
      <c r="F13" s="7">
        <f>'Working Capital Assumptions'!F7</f>
        <v>233333.33333333334</v>
      </c>
      <c r="H13" s="7">
        <f>'Working Capital Assumptions'!H7</f>
        <v>233333.33333333334</v>
      </c>
      <c r="J13" s="7">
        <f>'Working Capital Assumptions'!J7</f>
        <v>647500</v>
      </c>
      <c r="K13" s="7">
        <f>'Working Capital Assumptions'!K7</f>
        <v>805000</v>
      </c>
      <c r="L13" s="7">
        <f>'Working Capital Assumptions'!L7</f>
        <v>1085000</v>
      </c>
      <c r="M13" s="7">
        <f>'Working Capital Assumptions'!M7</f>
        <v>1155000</v>
      </c>
      <c r="O13" s="7">
        <f>'Working Capital Assumptions'!O7</f>
        <v>1155000</v>
      </c>
      <c r="Q13" s="7">
        <f>'Working Capital Assumptions'!Q7</f>
        <v>1543500</v>
      </c>
      <c r="R13" s="7">
        <f>'Working Capital Assumptions'!R7</f>
        <v>1617000</v>
      </c>
      <c r="S13" s="7">
        <f>'Working Capital Assumptions'!S7</f>
        <v>1727250</v>
      </c>
      <c r="T13" s="7">
        <f>'Working Capital Assumptions'!T7</f>
        <v>1837500</v>
      </c>
      <c r="V13" s="7">
        <f>'Working Capital Assumptions'!V7</f>
        <v>1837500</v>
      </c>
      <c r="X13" s="7">
        <f>'Working Capital Assumptions'!X7</f>
        <v>2720418.75</v>
      </c>
      <c r="Y13" s="7">
        <f>'Working Capital Assumptions'!Y7</f>
        <v>3550050</v>
      </c>
      <c r="Z13" s="7">
        <f>'Working Capital Assumptions'!Z7</f>
        <v>3704400</v>
      </c>
      <c r="AA13" s="7">
        <f>'Working Capital Assumptions'!AA7</f>
        <v>3897337.5</v>
      </c>
      <c r="AC13" s="7">
        <f>'Working Capital Assumptions'!AC7</f>
        <v>3897337.5</v>
      </c>
      <c r="AE13" s="7">
        <f>'Working Capital Assumptions'!AE7</f>
        <v>4294788.75</v>
      </c>
      <c r="AF13" s="7">
        <f>'Working Capital Assumptions'!AF7</f>
        <v>4497373.125</v>
      </c>
      <c r="AG13" s="7">
        <f>'Working Capital Assumptions'!AG7</f>
        <v>4699957.5</v>
      </c>
      <c r="AH13" s="7">
        <f>'Working Capital Assumptions'!AH7</f>
        <v>4902541.875</v>
      </c>
      <c r="AJ13" s="7">
        <f>'Working Capital Assumptions'!AJ7</f>
        <v>4902541.875</v>
      </c>
    </row>
    <row r="14" spans="2:36" x14ac:dyDescent="0.2">
      <c r="B14" s="5" t="s">
        <v>130</v>
      </c>
      <c r="C14" s="7">
        <f>'Cashflow Statement'!C36</f>
        <v>1418440.2777777778</v>
      </c>
      <c r="D14" s="7">
        <f>'Cashflow Statement'!D36</f>
        <v>1221065.2777777778</v>
      </c>
      <c r="E14" s="7">
        <f>'Cashflow Statement'!E36</f>
        <v>1153505.5555555555</v>
      </c>
      <c r="F14" s="7">
        <f>'Cashflow Statement'!F36</f>
        <v>1163130.5555555555</v>
      </c>
      <c r="H14" s="7">
        <f>'Cashflow Statement'!H36</f>
        <v>1163130.5555555555</v>
      </c>
      <c r="J14" s="7">
        <f>'Cashflow Statement'!J36</f>
        <v>2207327.8040416799</v>
      </c>
      <c r="K14" s="7">
        <f>'Cashflow Statement'!K36</f>
        <v>887806.32668454922</v>
      </c>
      <c r="L14" s="7">
        <f>'Cashflow Statement'!L36</f>
        <v>1324326.6362233167</v>
      </c>
      <c r="M14" s="7">
        <f>'Cashflow Statement'!M36</f>
        <v>1638417.4316305819</v>
      </c>
      <c r="O14" s="7">
        <f>'Cashflow Statement'!O36</f>
        <v>1638417.4316305819</v>
      </c>
      <c r="Q14" s="7">
        <f>'Cashflow Statement'!Q36</f>
        <v>2554814.4564384748</v>
      </c>
      <c r="R14" s="7">
        <f>'Cashflow Statement'!R36</f>
        <v>3720986.6375423968</v>
      </c>
      <c r="S14" s="7">
        <f>'Cashflow Statement'!S36</f>
        <v>4708383.9898764221</v>
      </c>
      <c r="T14" s="7">
        <f>'Cashflow Statement'!T36</f>
        <v>5833908.9289638009</v>
      </c>
      <c r="V14" s="7">
        <f>'Cashflow Statement'!V36</f>
        <v>5833908.9289638009</v>
      </c>
      <c r="X14" s="7">
        <f>'Cashflow Statement'!X36</f>
        <v>7343897.318983255</v>
      </c>
      <c r="Y14" s="7">
        <f>'Cashflow Statement'!Y36</f>
        <v>10251600.232128624</v>
      </c>
      <c r="Z14" s="7">
        <f>'Cashflow Statement'!Z36</f>
        <v>13738734.119044608</v>
      </c>
      <c r="AA14" s="7">
        <f>'Cashflow Statement'!AA36</f>
        <v>17191757.02803053</v>
      </c>
      <c r="AC14" s="7">
        <f>'Cashflow Statement'!AC36</f>
        <v>17191757.02803053</v>
      </c>
      <c r="AE14" s="7">
        <f>'Cashflow Statement'!AE36</f>
        <v>21394401.17187177</v>
      </c>
      <c r="AF14" s="7">
        <f>'Cashflow Statement'!AF36</f>
        <v>25993349.136257254</v>
      </c>
      <c r="AG14" s="7">
        <f>'Cashflow Statement'!AG36</f>
        <v>30927621.840483095</v>
      </c>
      <c r="AH14" s="7">
        <f>'Cashflow Statement'!AH36</f>
        <v>36176443.224511579</v>
      </c>
      <c r="AJ14" s="7">
        <f>'Cashflow Statement'!AJ36</f>
        <v>36176443.224511579</v>
      </c>
    </row>
    <row r="15" spans="2:36" x14ac:dyDescent="0.2">
      <c r="B15" s="5" t="s">
        <v>104</v>
      </c>
      <c r="C15" s="7">
        <f>'Working Capital Assumptions'!C9</f>
        <v>17500</v>
      </c>
      <c r="D15" s="7">
        <f>'Working Capital Assumptions'!D9</f>
        <v>17500</v>
      </c>
      <c r="E15" s="7">
        <f>'Working Capital Assumptions'!E9</f>
        <v>35000</v>
      </c>
      <c r="F15" s="7">
        <f>'Working Capital Assumptions'!F9</f>
        <v>35000</v>
      </c>
      <c r="H15" s="7">
        <f>'Working Capital Assumptions'!H9</f>
        <v>105000</v>
      </c>
      <c r="J15" s="7">
        <f>'Working Capital Assumptions'!J9</f>
        <v>97125</v>
      </c>
      <c r="K15" s="7">
        <f>'Working Capital Assumptions'!K9</f>
        <v>120750</v>
      </c>
      <c r="L15" s="7">
        <f>'Working Capital Assumptions'!L9</f>
        <v>162750</v>
      </c>
      <c r="M15" s="7">
        <f>'Working Capital Assumptions'!M9</f>
        <v>173250</v>
      </c>
      <c r="O15" s="7">
        <f>'Working Capital Assumptions'!O9</f>
        <v>553875</v>
      </c>
      <c r="Q15" s="7">
        <f>'Working Capital Assumptions'!Q9</f>
        <v>231525</v>
      </c>
      <c r="R15" s="7">
        <f>'Working Capital Assumptions'!R9</f>
        <v>242550</v>
      </c>
      <c r="S15" s="7">
        <f>'Working Capital Assumptions'!S9</f>
        <v>259087.5</v>
      </c>
      <c r="T15" s="7">
        <f>'Working Capital Assumptions'!T9</f>
        <v>275625</v>
      </c>
      <c r="V15" s="7">
        <f>'Working Capital Assumptions'!V9</f>
        <v>1008787.5</v>
      </c>
      <c r="X15" s="7">
        <f>'Working Capital Assumptions'!X9</f>
        <v>408062.8125</v>
      </c>
      <c r="Y15" s="7">
        <f>'Working Capital Assumptions'!Y9</f>
        <v>532507.5</v>
      </c>
      <c r="Z15" s="7">
        <f>'Working Capital Assumptions'!Z9</f>
        <v>555660</v>
      </c>
      <c r="AA15" s="7">
        <f>'Working Capital Assumptions'!AA9</f>
        <v>584600.625</v>
      </c>
      <c r="AC15" s="7">
        <f>'Working Capital Assumptions'!AC9</f>
        <v>2080830.9375</v>
      </c>
      <c r="AE15" s="7">
        <f>'Working Capital Assumptions'!AE9</f>
        <v>644218.3125</v>
      </c>
      <c r="AF15" s="7">
        <f>'Working Capital Assumptions'!AF9</f>
        <v>674605.96875</v>
      </c>
      <c r="AG15" s="7">
        <f>'Working Capital Assumptions'!AG9</f>
        <v>704993.625</v>
      </c>
      <c r="AH15" s="7">
        <f>'Working Capital Assumptions'!AH9</f>
        <v>735381.28125</v>
      </c>
      <c r="AJ15" s="7">
        <f>'Working Capital Assumptions'!AJ9</f>
        <v>2759199.1875</v>
      </c>
    </row>
    <row r="16" spans="2:36" x14ac:dyDescent="0.2">
      <c r="B16" s="23" t="s">
        <v>121</v>
      </c>
      <c r="C16" s="24">
        <f>SUM(C13:C15)</f>
        <v>1552606.9444444445</v>
      </c>
      <c r="D16" s="24">
        <f t="shared" ref="D16:H16" si="17">SUM(D13:D15)</f>
        <v>1355231.9444444445</v>
      </c>
      <c r="E16" s="24">
        <f t="shared" si="17"/>
        <v>1421838.8888888888</v>
      </c>
      <c r="F16" s="25">
        <f t="shared" si="17"/>
        <v>1431463.8888888888</v>
      </c>
      <c r="H16" s="26">
        <f t="shared" si="17"/>
        <v>1501463.8888888888</v>
      </c>
      <c r="J16" s="29">
        <f>SUM(J13:J15)</f>
        <v>2951952.8040416799</v>
      </c>
      <c r="K16" s="24">
        <f t="shared" ref="K16" si="18">SUM(K13:K15)</f>
        <v>1813556.3266845492</v>
      </c>
      <c r="L16" s="24">
        <f t="shared" ref="L16" si="19">SUM(L13:L15)</f>
        <v>2572076.6362233167</v>
      </c>
      <c r="M16" s="25">
        <f t="shared" ref="M16" si="20">SUM(M13:M15)</f>
        <v>2966667.4316305816</v>
      </c>
      <c r="O16" s="26">
        <f t="shared" ref="O16" si="21">SUM(O13:O15)</f>
        <v>3347292.4316305816</v>
      </c>
      <c r="Q16" s="29">
        <f>SUM(Q13:Q15)</f>
        <v>4329839.4564384744</v>
      </c>
      <c r="R16" s="24">
        <f t="shared" ref="R16" si="22">SUM(R13:R15)</f>
        <v>5580536.6375423968</v>
      </c>
      <c r="S16" s="24">
        <f t="shared" ref="S16" si="23">SUM(S13:S15)</f>
        <v>6694721.4898764221</v>
      </c>
      <c r="T16" s="25">
        <f t="shared" ref="T16" si="24">SUM(T13:T15)</f>
        <v>7947033.9289638009</v>
      </c>
      <c r="V16" s="26">
        <f t="shared" ref="V16" si="25">SUM(V13:V15)</f>
        <v>8680196.4289638009</v>
      </c>
      <c r="X16" s="29">
        <f>SUM(X13:X15)</f>
        <v>10472378.881483255</v>
      </c>
      <c r="Y16" s="24">
        <f t="shared" ref="Y16" si="26">SUM(Y13:Y15)</f>
        <v>14334157.732128624</v>
      </c>
      <c r="Z16" s="24">
        <f t="shared" ref="Z16" si="27">SUM(Z13:Z15)</f>
        <v>17998794.119044609</v>
      </c>
      <c r="AA16" s="25">
        <f t="shared" ref="AA16" si="28">SUM(AA13:AA15)</f>
        <v>21673695.15303053</v>
      </c>
      <c r="AC16" s="26">
        <f t="shared" ref="AC16" si="29">SUM(AC13:AC15)</f>
        <v>23169925.46553053</v>
      </c>
      <c r="AE16" s="29">
        <f>SUM(AE13:AE15)</f>
        <v>26333408.23437177</v>
      </c>
      <c r="AF16" s="24">
        <f t="shared" ref="AF16" si="30">SUM(AF13:AF15)</f>
        <v>31165328.230007254</v>
      </c>
      <c r="AG16" s="24">
        <f t="shared" ref="AG16" si="31">SUM(AG13:AG15)</f>
        <v>36332572.965483099</v>
      </c>
      <c r="AH16" s="25">
        <f t="shared" ref="AH16" si="32">SUM(AH13:AH15)</f>
        <v>41814366.380761579</v>
      </c>
      <c r="AJ16" s="26">
        <f t="shared" ref="AJ16" si="33">SUM(AJ13:AJ15)</f>
        <v>43838184.287011579</v>
      </c>
    </row>
    <row r="17" spans="2:36" x14ac:dyDescent="0.2">
      <c r="C17" s="9"/>
      <c r="D17" s="9"/>
      <c r="E17" s="9"/>
      <c r="F17" s="9"/>
      <c r="H17" s="9"/>
      <c r="J17" s="9"/>
      <c r="K17" s="9"/>
      <c r="L17" s="9"/>
      <c r="M17" s="9"/>
      <c r="O17" s="9"/>
      <c r="Q17" s="9"/>
      <c r="R17" s="9"/>
      <c r="S17" s="9"/>
      <c r="T17" s="9"/>
      <c r="V17" s="9"/>
      <c r="X17" s="9"/>
      <c r="Y17" s="9"/>
      <c r="Z17" s="9"/>
      <c r="AA17" s="9"/>
      <c r="AC17" s="9"/>
      <c r="AE17" s="9"/>
      <c r="AF17" s="9"/>
      <c r="AG17" s="9"/>
      <c r="AH17" s="9"/>
      <c r="AJ17" s="9"/>
    </row>
    <row r="18" spans="2:36" x14ac:dyDescent="0.2">
      <c r="B18" s="8" t="s">
        <v>131</v>
      </c>
      <c r="C18" s="38"/>
      <c r="D18" s="38"/>
      <c r="E18" s="38"/>
      <c r="F18" s="38"/>
      <c r="H18" s="38"/>
      <c r="J18" s="38"/>
      <c r="K18" s="38"/>
      <c r="L18" s="38"/>
      <c r="M18" s="38"/>
      <c r="O18" s="38"/>
      <c r="Q18" s="38"/>
      <c r="R18" s="38"/>
      <c r="S18" s="38"/>
      <c r="T18" s="38"/>
      <c r="V18" s="38"/>
      <c r="X18" s="38"/>
      <c r="Y18" s="38"/>
      <c r="Z18" s="38"/>
      <c r="AA18" s="38"/>
      <c r="AC18" s="38"/>
      <c r="AE18" s="38"/>
      <c r="AF18" s="38"/>
      <c r="AG18" s="38"/>
      <c r="AH18" s="38"/>
      <c r="AJ18" s="38"/>
    </row>
    <row r="19" spans="2:36" x14ac:dyDescent="0.2">
      <c r="B19" s="5" t="s">
        <v>146</v>
      </c>
      <c r="C19" s="7">
        <f>'Fixed Asset Schedule'!C16</f>
        <v>0</v>
      </c>
      <c r="D19" s="7">
        <f>'Fixed Asset Schedule'!D16</f>
        <v>0</v>
      </c>
      <c r="E19" s="7">
        <f>'Fixed Asset Schedule'!E16</f>
        <v>0</v>
      </c>
      <c r="F19" s="7">
        <f>'Fixed Asset Schedule'!F16</f>
        <v>0</v>
      </c>
      <c r="H19" s="7">
        <f>'Fixed Asset Schedule'!H16</f>
        <v>0</v>
      </c>
      <c r="J19" s="7">
        <f>'Fixed Asset Schedule'!J16</f>
        <v>1199493.75</v>
      </c>
      <c r="K19" s="7">
        <f>'Fixed Asset Schedule'!K16</f>
        <v>2369000.15625</v>
      </c>
      <c r="L19" s="7">
        <f>'Fixed Asset Schedule'!L16</f>
        <v>3509268.90234375</v>
      </c>
      <c r="M19" s="7">
        <f>'Fixed Asset Schedule'!M16</f>
        <v>5820524.6797851566</v>
      </c>
      <c r="O19" s="7">
        <f>'Fixed Asset Schedule'!O16</f>
        <v>5820524.6797851566</v>
      </c>
      <c r="Q19" s="7">
        <f>'Fixed Asset Schedule'!Q16</f>
        <v>7954049.6877905279</v>
      </c>
      <c r="R19" s="7">
        <f>'Fixed Asset Schedule'!R16</f>
        <v>10034236.570595765</v>
      </c>
      <c r="S19" s="7">
        <f>'Fixed Asset Schedule'!S16</f>
        <v>13201937.84383087</v>
      </c>
      <c r="T19" s="7">
        <f>'Fixed Asset Schedule'!T16</f>
        <v>16290446.585235098</v>
      </c>
      <c r="V19" s="7">
        <f>'Fixed Asset Schedule'!V16</f>
        <v>16290446.585235097</v>
      </c>
      <c r="X19" s="7">
        <f>'Fixed Asset Schedule'!X16</f>
        <v>19130814.748729218</v>
      </c>
      <c r="Y19" s="7">
        <f>'Fixed Asset Schedule'!Y16</f>
        <v>22982716.817510989</v>
      </c>
      <c r="Z19" s="7">
        <f>'Fixed Asset Schedule'!Z16</f>
        <v>26738321.334573213</v>
      </c>
      <c r="AA19" s="7">
        <f>'Fixed Asset Schedule'!AA16</f>
        <v>31482578.848083884</v>
      </c>
      <c r="AC19" s="7">
        <f>'Fixed Asset Schedule'!AC16</f>
        <v>31482578.848083884</v>
      </c>
      <c r="AE19" s="7">
        <f>'Fixed Asset Schedule'!AE16</f>
        <v>35837594.146413036</v>
      </c>
      <c r="AF19" s="7">
        <f>'Fixed Asset Schedule'!AF16</f>
        <v>40083734.062283963</v>
      </c>
      <c r="AG19" s="7">
        <f>'Fixed Asset Schedule'!AG16</f>
        <v>44223720.480258115</v>
      </c>
      <c r="AH19" s="7">
        <f>'Fixed Asset Schedule'!AH16</f>
        <v>48260207.23778291</v>
      </c>
      <c r="AJ19" s="7">
        <f>'Fixed Asset Schedule'!AJ16</f>
        <v>48260207.23778291</v>
      </c>
    </row>
    <row r="20" spans="2:36" x14ac:dyDescent="0.2">
      <c r="B20" s="5" t="s">
        <v>145</v>
      </c>
      <c r="C20" s="7">
        <f>'Fixed Asset Schedule'!C23</f>
        <v>0</v>
      </c>
      <c r="D20" s="7">
        <f>'Fixed Asset Schedule'!D23</f>
        <v>0</v>
      </c>
      <c r="E20" s="7">
        <f>'Fixed Asset Schedule'!E23</f>
        <v>0</v>
      </c>
      <c r="F20" s="7">
        <f>'Fixed Asset Schedule'!F23</f>
        <v>0</v>
      </c>
      <c r="H20" s="7">
        <f>'Fixed Asset Schedule'!H23</f>
        <v>0</v>
      </c>
      <c r="J20" s="7">
        <f>'Fixed Asset Schedule'!J23</f>
        <v>0</v>
      </c>
      <c r="K20" s="7">
        <f>'Fixed Asset Schedule'!K23</f>
        <v>0</v>
      </c>
      <c r="L20" s="7">
        <f>'Fixed Asset Schedule'!L23</f>
        <v>0</v>
      </c>
      <c r="M20" s="7">
        <f>'Fixed Asset Schedule'!M23</f>
        <v>0</v>
      </c>
      <c r="O20" s="7">
        <f>'Fixed Asset Schedule'!O23</f>
        <v>0</v>
      </c>
      <c r="Q20" s="7">
        <f>'Fixed Asset Schedule'!Q23</f>
        <v>0</v>
      </c>
      <c r="R20" s="7">
        <f>'Fixed Asset Schedule'!R23</f>
        <v>0</v>
      </c>
      <c r="S20" s="7">
        <f>'Fixed Asset Schedule'!S23</f>
        <v>0</v>
      </c>
      <c r="T20" s="7">
        <f>'Fixed Asset Schedule'!T23</f>
        <v>0</v>
      </c>
      <c r="V20" s="7">
        <f>'Fixed Asset Schedule'!V23</f>
        <v>0</v>
      </c>
      <c r="X20" s="7">
        <f>'Fixed Asset Schedule'!X23</f>
        <v>0</v>
      </c>
      <c r="Y20" s="7">
        <f>'Fixed Asset Schedule'!Y23</f>
        <v>0</v>
      </c>
      <c r="Z20" s="7">
        <f>'Fixed Asset Schedule'!Z23</f>
        <v>0</v>
      </c>
      <c r="AA20" s="7">
        <f>'Fixed Asset Schedule'!AA23</f>
        <v>0</v>
      </c>
      <c r="AC20" s="7">
        <f>'Fixed Asset Schedule'!AC23</f>
        <v>0</v>
      </c>
      <c r="AE20" s="7">
        <f>'Fixed Asset Schedule'!AE23</f>
        <v>0</v>
      </c>
      <c r="AF20" s="7">
        <f>'Fixed Asset Schedule'!AF23</f>
        <v>0</v>
      </c>
      <c r="AG20" s="7">
        <f>'Fixed Asset Schedule'!AG23</f>
        <v>0</v>
      </c>
      <c r="AH20" s="7">
        <f>'Fixed Asset Schedule'!AH23</f>
        <v>0</v>
      </c>
      <c r="AJ20" s="7">
        <f>'Fixed Asset Schedule'!AJ23</f>
        <v>0</v>
      </c>
    </row>
    <row r="21" spans="2:36" x14ac:dyDescent="0.2">
      <c r="B21" s="23" t="s">
        <v>132</v>
      </c>
      <c r="C21" s="24">
        <f>SUM(C19:C20)</f>
        <v>0</v>
      </c>
      <c r="D21" s="24">
        <f t="shared" ref="D21:H21" si="34">SUM(D19:D20)</f>
        <v>0</v>
      </c>
      <c r="E21" s="24">
        <f t="shared" si="34"/>
        <v>0</v>
      </c>
      <c r="F21" s="25">
        <f t="shared" si="34"/>
        <v>0</v>
      </c>
      <c r="H21" s="26">
        <f t="shared" si="34"/>
        <v>0</v>
      </c>
      <c r="J21" s="29">
        <f>SUM(J19:J20)</f>
        <v>1199493.75</v>
      </c>
      <c r="K21" s="24">
        <f t="shared" ref="K21" si="35">SUM(K19:K20)</f>
        <v>2369000.15625</v>
      </c>
      <c r="L21" s="24">
        <f t="shared" ref="L21" si="36">SUM(L19:L20)</f>
        <v>3509268.90234375</v>
      </c>
      <c r="M21" s="25">
        <f t="shared" ref="M21" si="37">SUM(M19:M20)</f>
        <v>5820524.6797851566</v>
      </c>
      <c r="O21" s="26">
        <f t="shared" ref="O21" si="38">SUM(O19:O20)</f>
        <v>5820524.6797851566</v>
      </c>
      <c r="Q21" s="29">
        <f>SUM(Q19:Q20)</f>
        <v>7954049.6877905279</v>
      </c>
      <c r="R21" s="24">
        <f t="shared" ref="R21" si="39">SUM(R19:R20)</f>
        <v>10034236.570595765</v>
      </c>
      <c r="S21" s="24">
        <f t="shared" ref="S21" si="40">SUM(S19:S20)</f>
        <v>13201937.84383087</v>
      </c>
      <c r="T21" s="25">
        <f t="shared" ref="T21" si="41">SUM(T19:T20)</f>
        <v>16290446.585235098</v>
      </c>
      <c r="V21" s="26">
        <f t="shared" ref="V21" si="42">SUM(V19:V20)</f>
        <v>16290446.585235097</v>
      </c>
      <c r="X21" s="29">
        <f>SUM(X19:X20)</f>
        <v>19130814.748729218</v>
      </c>
      <c r="Y21" s="24">
        <f t="shared" ref="Y21" si="43">SUM(Y19:Y20)</f>
        <v>22982716.817510989</v>
      </c>
      <c r="Z21" s="24">
        <f t="shared" ref="Z21" si="44">SUM(Z19:Z20)</f>
        <v>26738321.334573213</v>
      </c>
      <c r="AA21" s="25">
        <f t="shared" ref="AA21" si="45">SUM(AA19:AA20)</f>
        <v>31482578.848083884</v>
      </c>
      <c r="AC21" s="26">
        <f t="shared" ref="AC21" si="46">SUM(AC19:AC20)</f>
        <v>31482578.848083884</v>
      </c>
      <c r="AE21" s="29">
        <f>SUM(AE19:AE20)</f>
        <v>35837594.146413036</v>
      </c>
      <c r="AF21" s="24">
        <f t="shared" ref="AF21" si="47">SUM(AF19:AF20)</f>
        <v>40083734.062283963</v>
      </c>
      <c r="AG21" s="24">
        <f t="shared" ref="AG21" si="48">SUM(AG19:AG20)</f>
        <v>44223720.480258115</v>
      </c>
      <c r="AH21" s="25">
        <f t="shared" ref="AH21" si="49">SUM(AH19:AH20)</f>
        <v>48260207.23778291</v>
      </c>
      <c r="AJ21" s="26">
        <f t="shared" ref="AJ21" si="50">SUM(AJ19:AJ20)</f>
        <v>48260207.23778291</v>
      </c>
    </row>
    <row r="22" spans="2:36" ht="16" thickBot="1" x14ac:dyDescent="0.25">
      <c r="C22" s="7"/>
      <c r="D22" s="7"/>
      <c r="E22" s="7"/>
      <c r="F22" s="7"/>
      <c r="H22" s="7"/>
      <c r="J22" s="7"/>
      <c r="K22" s="7"/>
      <c r="L22" s="7"/>
      <c r="M22" s="7"/>
      <c r="O22" s="7"/>
      <c r="Q22" s="7"/>
      <c r="R22" s="7"/>
      <c r="S22" s="7"/>
      <c r="T22" s="7"/>
      <c r="V22" s="7"/>
      <c r="X22" s="7"/>
      <c r="Y22" s="7"/>
      <c r="Z22" s="7"/>
      <c r="AA22" s="7"/>
      <c r="AC22" s="7"/>
      <c r="AE22" s="7"/>
      <c r="AF22" s="7"/>
      <c r="AG22" s="7"/>
      <c r="AH22" s="7"/>
      <c r="AJ22" s="7"/>
    </row>
    <row r="23" spans="2:36" ht="16" thickBot="1" x14ac:dyDescent="0.25">
      <c r="B23" s="10" t="s">
        <v>133</v>
      </c>
      <c r="C23" s="11">
        <f>C21+C16+C10</f>
        <v>1552606.9444444445</v>
      </c>
      <c r="D23" s="11">
        <f t="shared" ref="D23:AJ23" si="51">D21+D16+D10</f>
        <v>1555231.9444444445</v>
      </c>
      <c r="E23" s="11">
        <f t="shared" si="51"/>
        <v>1621838.8888888888</v>
      </c>
      <c r="F23" s="12">
        <f t="shared" si="51"/>
        <v>1631463.8888888888</v>
      </c>
      <c r="H23" s="13">
        <f t="shared" si="51"/>
        <v>1701463.8888888888</v>
      </c>
      <c r="J23" s="14">
        <f t="shared" si="51"/>
        <v>4351446.5540416799</v>
      </c>
      <c r="K23" s="11">
        <f t="shared" si="51"/>
        <v>5702556.4829345495</v>
      </c>
      <c r="L23" s="11">
        <f t="shared" si="51"/>
        <v>7601345.5385670662</v>
      </c>
      <c r="M23" s="12">
        <f t="shared" si="51"/>
        <v>10307192.111415738</v>
      </c>
      <c r="O23" s="13">
        <f t="shared" si="51"/>
        <v>10687817.111415738</v>
      </c>
      <c r="Q23" s="14">
        <f t="shared" si="51"/>
        <v>13803889.144229002</v>
      </c>
      <c r="R23" s="11">
        <f t="shared" si="51"/>
        <v>17134773.20813816</v>
      </c>
      <c r="S23" s="11">
        <f t="shared" si="51"/>
        <v>21416659.333707292</v>
      </c>
      <c r="T23" s="12">
        <f t="shared" si="51"/>
        <v>25757480.514198899</v>
      </c>
      <c r="V23" s="13">
        <f t="shared" si="51"/>
        <v>26490643.014198899</v>
      </c>
      <c r="X23" s="14">
        <f t="shared" si="51"/>
        <v>31123193.630212471</v>
      </c>
      <c r="Y23" s="11">
        <f t="shared" si="51"/>
        <v>38836874.549639612</v>
      </c>
      <c r="Z23" s="11">
        <f t="shared" si="51"/>
        <v>46257115.453617826</v>
      </c>
      <c r="AA23" s="12">
        <f t="shared" si="51"/>
        <v>54676274.001114413</v>
      </c>
      <c r="AC23" s="13">
        <f t="shared" si="51"/>
        <v>56172504.313614413</v>
      </c>
      <c r="AE23" s="14">
        <f t="shared" si="51"/>
        <v>63691002.38078481</v>
      </c>
      <c r="AF23" s="11">
        <f t="shared" si="51"/>
        <v>72769062.292291224</v>
      </c>
      <c r="AG23" s="11">
        <f t="shared" si="51"/>
        <v>82076293.445741206</v>
      </c>
      <c r="AH23" s="12">
        <f t="shared" si="51"/>
        <v>91594573.618544489</v>
      </c>
      <c r="AJ23" s="13">
        <f t="shared" si="51"/>
        <v>93618391.524794489</v>
      </c>
    </row>
    <row r="24" spans="2:36" x14ac:dyDescent="0.2">
      <c r="C24" s="7"/>
      <c r="D24" s="7"/>
      <c r="E24" s="7"/>
      <c r="F24" s="7"/>
      <c r="H24" s="7"/>
      <c r="J24" s="7"/>
      <c r="K24" s="7"/>
      <c r="L24" s="7"/>
      <c r="M24" s="7"/>
      <c r="O24" s="7"/>
      <c r="Q24" s="7"/>
      <c r="R24" s="7"/>
      <c r="S24" s="7"/>
      <c r="T24" s="7"/>
      <c r="V24" s="7"/>
      <c r="X24" s="7"/>
      <c r="Y24" s="7"/>
      <c r="Z24" s="7"/>
      <c r="AA24" s="7"/>
      <c r="AC24" s="7"/>
      <c r="AE24" s="7"/>
      <c r="AF24" s="7"/>
      <c r="AG24" s="7"/>
      <c r="AH24" s="7"/>
      <c r="AJ24" s="7"/>
    </row>
    <row r="25" spans="2:36" x14ac:dyDescent="0.2">
      <c r="B25" s="69" t="s">
        <v>134</v>
      </c>
      <c r="C25" s="7"/>
      <c r="D25" s="7"/>
      <c r="E25" s="7"/>
      <c r="F25" s="7"/>
      <c r="H25" s="7"/>
      <c r="J25" s="7"/>
      <c r="K25" s="7"/>
      <c r="L25" s="7"/>
      <c r="M25" s="7"/>
      <c r="O25" s="7"/>
      <c r="Q25" s="7"/>
      <c r="R25" s="7"/>
      <c r="S25" s="7"/>
      <c r="T25" s="7"/>
      <c r="V25" s="7"/>
      <c r="X25" s="7"/>
      <c r="Y25" s="7"/>
      <c r="Z25" s="7"/>
      <c r="AA25" s="7"/>
      <c r="AC25" s="7"/>
      <c r="AE25" s="7"/>
      <c r="AF25" s="7"/>
      <c r="AG25" s="7"/>
      <c r="AH25" s="7"/>
      <c r="AJ25" s="7"/>
    </row>
    <row r="26" spans="2:36" x14ac:dyDescent="0.2">
      <c r="B26" s="8" t="s">
        <v>122</v>
      </c>
      <c r="C26" s="7"/>
      <c r="D26" s="7"/>
      <c r="E26" s="7"/>
      <c r="F26" s="7"/>
      <c r="H26" s="7"/>
      <c r="J26" s="7"/>
      <c r="K26" s="7"/>
      <c r="L26" s="7"/>
      <c r="M26" s="7"/>
      <c r="O26" s="7"/>
      <c r="Q26" s="7"/>
      <c r="R26" s="7"/>
      <c r="S26" s="7"/>
      <c r="T26" s="7"/>
      <c r="V26" s="7"/>
      <c r="X26" s="7"/>
      <c r="Y26" s="7"/>
      <c r="Z26" s="7"/>
      <c r="AA26" s="7"/>
      <c r="AC26" s="7"/>
      <c r="AE26" s="7"/>
      <c r="AF26" s="7"/>
      <c r="AG26" s="7"/>
      <c r="AH26" s="7"/>
      <c r="AJ26" s="7"/>
    </row>
    <row r="27" spans="2:36" x14ac:dyDescent="0.2">
      <c r="B27" s="5" t="s">
        <v>100</v>
      </c>
      <c r="C27" s="7">
        <f>'Working Capital Assumptions'!C15</f>
        <v>32044.444444444445</v>
      </c>
      <c r="D27" s="7">
        <f>'Working Capital Assumptions'!D15</f>
        <v>32044.444444444445</v>
      </c>
      <c r="E27" s="7">
        <f>'Working Capital Assumptions'!E15</f>
        <v>57088.888888888891</v>
      </c>
      <c r="F27" s="7">
        <f>'Working Capital Assumptions'!F15</f>
        <v>64088.888888888891</v>
      </c>
      <c r="H27" s="7">
        <f>'Working Capital Assumptions'!H15</f>
        <v>64088.888888888891</v>
      </c>
      <c r="J27" s="7">
        <f>'Working Capital Assumptions'!J15</f>
        <v>185256.94444444444</v>
      </c>
      <c r="K27" s="7">
        <f>'Working Capital Assumptions'!K15</f>
        <v>214919.44444444444</v>
      </c>
      <c r="L27" s="7">
        <f>'Working Capital Assumptions'!L15</f>
        <v>263219.44444444444</v>
      </c>
      <c r="M27" s="7">
        <f>'Working Capital Assumptions'!M15</f>
        <v>279319.44444444444</v>
      </c>
      <c r="O27" s="7">
        <f>'Working Capital Assumptions'!O15</f>
        <v>279319.44444444444</v>
      </c>
      <c r="Q27" s="7">
        <f>'Working Capital Assumptions'!Q15</f>
        <v>345610.22222222225</v>
      </c>
      <c r="R27" s="7">
        <f>'Working Capital Assumptions'!R15</f>
        <v>361449.47222222225</v>
      </c>
      <c r="S27" s="7">
        <f>'Working Capital Assumptions'!S15</f>
        <v>385208.34722222225</v>
      </c>
      <c r="T27" s="7">
        <f>'Working Capital Assumptions'!T15</f>
        <v>408967.22222222225</v>
      </c>
      <c r="V27" s="7">
        <f>'Working Capital Assumptions'!V15</f>
        <v>408967.22222222225</v>
      </c>
      <c r="X27" s="7">
        <f>'Working Capital Assumptions'!X15</f>
        <v>536112.07222222222</v>
      </c>
      <c r="Y27" s="7">
        <f>'Working Capital Assumptions'!Y15</f>
        <v>656582.24722222227</v>
      </c>
      <c r="Z27" s="7">
        <f>'Working Capital Assumptions'!Z15</f>
        <v>684056.5472222222</v>
      </c>
      <c r="AA27" s="7">
        <f>'Working Capital Assumptions'!AA15</f>
        <v>718399.4222222222</v>
      </c>
      <c r="AC27" s="7">
        <f>'Working Capital Assumptions'!AC15</f>
        <v>718399.4222222222</v>
      </c>
      <c r="AE27" s="7">
        <f>'Working Capital Assumptions'!AE15</f>
        <v>766438.13361111097</v>
      </c>
      <c r="AF27" s="7">
        <f>'Working Capital Assumptions'!AF15</f>
        <v>801485.23048611113</v>
      </c>
      <c r="AG27" s="7">
        <f>'Working Capital Assumptions'!AG15</f>
        <v>813032.5398611112</v>
      </c>
      <c r="AH27" s="7">
        <f>'Working Capital Assumptions'!AH15</f>
        <v>847066.71486111113</v>
      </c>
      <c r="AJ27" s="7">
        <f>'Working Capital Assumptions'!AJ15</f>
        <v>847066.71486111113</v>
      </c>
    </row>
    <row r="28" spans="2:36" x14ac:dyDescent="0.2">
      <c r="B28" s="5" t="s">
        <v>101</v>
      </c>
      <c r="C28" s="7">
        <f>'Working Capital Assumptions'!C17</f>
        <v>437.5</v>
      </c>
      <c r="D28" s="7">
        <f>'Working Capital Assumptions'!D17</f>
        <v>437.5</v>
      </c>
      <c r="E28" s="7">
        <f>'Working Capital Assumptions'!E17</f>
        <v>3500</v>
      </c>
      <c r="F28" s="7">
        <f>'Working Capital Assumptions'!F17</f>
        <v>875</v>
      </c>
      <c r="H28" s="7">
        <f>'Working Capital Assumptions'!H17</f>
        <v>875</v>
      </c>
      <c r="J28" s="7">
        <f>'Working Capital Assumptions'!J17</f>
        <v>18572.513716037567</v>
      </c>
      <c r="K28" s="7">
        <f>'Working Capital Assumptions'!K17</f>
        <v>60531.471644544836</v>
      </c>
      <c r="L28" s="7">
        <f>'Working Capital Assumptions'!L17</f>
        <v>141569.17334027577</v>
      </c>
      <c r="M28" s="7">
        <f>'Working Capital Assumptions'!M17</f>
        <v>149945.81464962891</v>
      </c>
      <c r="O28" s="7">
        <f>'Working Capital Assumptions'!O17</f>
        <v>149945.81464962891</v>
      </c>
      <c r="Q28" s="7">
        <f>'Working Capital Assumptions'!Q17</f>
        <v>267240.32523756922</v>
      </c>
      <c r="R28" s="7">
        <f>'Working Capital Assumptions'!R17</f>
        <v>278135.0539335222</v>
      </c>
      <c r="S28" s="7">
        <f>'Working Capital Assumptions'!S17</f>
        <v>294266.6922147575</v>
      </c>
      <c r="T28" s="7">
        <f>'Working Capital Assumptions'!T17</f>
        <v>310752.99630191538</v>
      </c>
      <c r="V28" s="7">
        <f>'Working Capital Assumptions'!V17</f>
        <v>310752.99630191538</v>
      </c>
      <c r="X28" s="7">
        <f>'Working Capital Assumptions'!X17</f>
        <v>452337.96736754553</v>
      </c>
      <c r="Y28" s="7">
        <f>'Working Capital Assumptions'!Y17</f>
        <v>698345.82235904806</v>
      </c>
      <c r="Z28" s="7">
        <f>'Working Capital Assumptions'!Z17</f>
        <v>726429.63468525384</v>
      </c>
      <c r="AA28" s="7">
        <f>'Working Capital Assumptions'!AA17</f>
        <v>761313.89698305831</v>
      </c>
      <c r="AC28" s="7">
        <f>'Working Capital Assumptions'!AC17</f>
        <v>761313.89698305831</v>
      </c>
      <c r="AE28" s="7">
        <f>'Working Capital Assumptions'!AE17</f>
        <v>883084.36076687765</v>
      </c>
      <c r="AF28" s="7">
        <f>'Working Capital Assumptions'!AF17</f>
        <v>923727.37247694982</v>
      </c>
      <c r="AG28" s="7">
        <f>'Working Capital Assumptions'!AG17</f>
        <v>973663.63964221219</v>
      </c>
      <c r="AH28" s="7">
        <f>'Working Capital Assumptions'!AH17</f>
        <v>1015637.3558606149</v>
      </c>
      <c r="AJ28" s="7">
        <f>'Working Capital Assumptions'!AJ17</f>
        <v>1015637.3558606149</v>
      </c>
    </row>
    <row r="29" spans="2:36" x14ac:dyDescent="0.2">
      <c r="B29" s="5" t="s">
        <v>102</v>
      </c>
      <c r="C29" s="7">
        <f>'Working Capital Assumptions'!C19</f>
        <v>17500</v>
      </c>
      <c r="D29" s="7">
        <f>'Working Capital Assumptions'!D19</f>
        <v>17500</v>
      </c>
      <c r="E29" s="7">
        <f>'Working Capital Assumptions'!E19</f>
        <v>35000</v>
      </c>
      <c r="F29" s="7">
        <f>'Working Capital Assumptions'!F19</f>
        <v>35000</v>
      </c>
      <c r="H29" s="7">
        <f>'Working Capital Assumptions'!H19</f>
        <v>105000</v>
      </c>
      <c r="J29" s="7">
        <f>'Working Capital Assumptions'!J19</f>
        <v>97125</v>
      </c>
      <c r="K29" s="7">
        <f>'Working Capital Assumptions'!K19</f>
        <v>120750</v>
      </c>
      <c r="L29" s="7">
        <f>'Working Capital Assumptions'!L19</f>
        <v>162750</v>
      </c>
      <c r="M29" s="7">
        <f>'Working Capital Assumptions'!M19</f>
        <v>173250</v>
      </c>
      <c r="O29" s="7">
        <f>'Working Capital Assumptions'!O19</f>
        <v>553875</v>
      </c>
      <c r="Q29" s="7">
        <f>'Working Capital Assumptions'!Q19</f>
        <v>231525</v>
      </c>
      <c r="R29" s="7">
        <f>'Working Capital Assumptions'!R19</f>
        <v>242550</v>
      </c>
      <c r="S29" s="7">
        <f>'Working Capital Assumptions'!S19</f>
        <v>259087.5</v>
      </c>
      <c r="T29" s="7">
        <f>'Working Capital Assumptions'!T19</f>
        <v>275625</v>
      </c>
      <c r="V29" s="7">
        <f>'Working Capital Assumptions'!V19</f>
        <v>1008787.5</v>
      </c>
      <c r="X29" s="7">
        <f>'Working Capital Assumptions'!X19</f>
        <v>408062.8125</v>
      </c>
      <c r="Y29" s="7">
        <f>'Working Capital Assumptions'!Y19</f>
        <v>532507.5</v>
      </c>
      <c r="Z29" s="7">
        <f>'Working Capital Assumptions'!Z19</f>
        <v>555660</v>
      </c>
      <c r="AA29" s="7">
        <f>'Working Capital Assumptions'!AA19</f>
        <v>584600.625</v>
      </c>
      <c r="AC29" s="7">
        <f>'Working Capital Assumptions'!AC19</f>
        <v>2080830.9375</v>
      </c>
      <c r="AE29" s="7">
        <f>'Working Capital Assumptions'!AE19</f>
        <v>644218.3125</v>
      </c>
      <c r="AF29" s="7">
        <f>'Working Capital Assumptions'!AF19</f>
        <v>674605.96875</v>
      </c>
      <c r="AG29" s="7">
        <f>'Working Capital Assumptions'!AG19</f>
        <v>704993.625</v>
      </c>
      <c r="AH29" s="7">
        <f>'Working Capital Assumptions'!AH19</f>
        <v>735381.28125</v>
      </c>
      <c r="AJ29" s="7">
        <f>'Working Capital Assumptions'!AJ19</f>
        <v>2759199.1875</v>
      </c>
    </row>
    <row r="30" spans="2:36" x14ac:dyDescent="0.2">
      <c r="B30" s="23" t="s">
        <v>125</v>
      </c>
      <c r="C30" s="24">
        <f>SUM(C27:C29)</f>
        <v>49981.944444444445</v>
      </c>
      <c r="D30" s="24">
        <f t="shared" ref="D30:H30" si="52">SUM(D27:D29)</f>
        <v>49981.944444444445</v>
      </c>
      <c r="E30" s="24">
        <f t="shared" si="52"/>
        <v>95588.888888888891</v>
      </c>
      <c r="F30" s="25">
        <f t="shared" si="52"/>
        <v>99963.888888888891</v>
      </c>
      <c r="H30" s="26">
        <f t="shared" si="52"/>
        <v>169963.88888888888</v>
      </c>
      <c r="I30" s="8"/>
      <c r="J30" s="29">
        <f>SUM(J27:J29)</f>
        <v>300954.458160482</v>
      </c>
      <c r="K30" s="24">
        <f t="shared" ref="K30" si="53">SUM(K27:K29)</f>
        <v>396200.9160889893</v>
      </c>
      <c r="L30" s="24">
        <f t="shared" ref="L30" si="54">SUM(L27:L29)</f>
        <v>567538.61778472015</v>
      </c>
      <c r="M30" s="25">
        <f t="shared" ref="M30" si="55">SUM(M27:M29)</f>
        <v>602515.25909407332</v>
      </c>
      <c r="O30" s="26">
        <f t="shared" ref="O30" si="56">SUM(O27:O29)</f>
        <v>983140.25909407332</v>
      </c>
      <c r="P30" s="8"/>
      <c r="Q30" s="29">
        <f>SUM(Q27:Q29)</f>
        <v>844375.54745979141</v>
      </c>
      <c r="R30" s="24">
        <f t="shared" ref="R30" si="57">SUM(R27:R29)</f>
        <v>882134.52615574445</v>
      </c>
      <c r="S30" s="24">
        <f t="shared" ref="S30" si="58">SUM(S27:S29)</f>
        <v>938562.53943697968</v>
      </c>
      <c r="T30" s="25">
        <f t="shared" ref="T30" si="59">SUM(T27:T29)</f>
        <v>995345.21852413763</v>
      </c>
      <c r="V30" s="26">
        <f t="shared" ref="V30" si="60">SUM(V27:V29)</f>
        <v>1728507.7185241375</v>
      </c>
      <c r="W30" s="8"/>
      <c r="X30" s="29">
        <f>SUM(X27:X29)</f>
        <v>1396512.8520897678</v>
      </c>
      <c r="Y30" s="24">
        <f t="shared" ref="Y30" si="61">SUM(Y27:Y29)</f>
        <v>1887435.5695812702</v>
      </c>
      <c r="Z30" s="24">
        <f t="shared" ref="Z30" si="62">SUM(Z27:Z29)</f>
        <v>1966146.1819074759</v>
      </c>
      <c r="AA30" s="25">
        <f t="shared" ref="AA30" si="63">SUM(AA27:AA29)</f>
        <v>2064313.9442052804</v>
      </c>
      <c r="AC30" s="26">
        <f t="shared" ref="AC30" si="64">SUM(AC27:AC29)</f>
        <v>3560544.2567052804</v>
      </c>
      <c r="AD30" s="8"/>
      <c r="AE30" s="29">
        <f>SUM(AE27:AE29)</f>
        <v>2293740.8068779884</v>
      </c>
      <c r="AF30" s="24">
        <f t="shared" ref="AF30" si="65">SUM(AF27:AF29)</f>
        <v>2399818.5717130611</v>
      </c>
      <c r="AG30" s="24">
        <f t="shared" ref="AG30" si="66">SUM(AG27:AG29)</f>
        <v>2491689.8045033235</v>
      </c>
      <c r="AH30" s="25">
        <f t="shared" ref="AH30" si="67">SUM(AH27:AH29)</f>
        <v>2598085.3519717259</v>
      </c>
      <c r="AJ30" s="26">
        <f t="shared" ref="AJ30" si="68">SUM(AJ27:AJ29)</f>
        <v>4621903.2582217259</v>
      </c>
    </row>
    <row r="31" spans="2:36" x14ac:dyDescent="0.2">
      <c r="C31" s="38"/>
      <c r="D31" s="38"/>
      <c r="E31" s="38"/>
      <c r="F31" s="38"/>
      <c r="H31" s="38"/>
      <c r="J31" s="38"/>
      <c r="K31" s="38"/>
      <c r="L31" s="38"/>
      <c r="M31" s="38"/>
      <c r="O31" s="38"/>
      <c r="Q31" s="38"/>
      <c r="R31" s="38"/>
      <c r="S31" s="38"/>
      <c r="T31" s="38"/>
      <c r="V31" s="38"/>
      <c r="X31" s="38"/>
      <c r="Y31" s="38"/>
      <c r="Z31" s="38"/>
      <c r="AA31" s="38"/>
      <c r="AC31" s="38"/>
      <c r="AE31" s="38"/>
      <c r="AF31" s="38"/>
      <c r="AG31" s="38"/>
      <c r="AH31" s="38"/>
      <c r="AJ31" s="38"/>
    </row>
    <row r="32" spans="2:36" x14ac:dyDescent="0.2">
      <c r="B32" s="8" t="s">
        <v>135</v>
      </c>
    </row>
    <row r="33" spans="2:36" x14ac:dyDescent="0.2">
      <c r="B33" s="5" t="s">
        <v>136</v>
      </c>
      <c r="C33" s="7">
        <f>'Capital Deployment &amp; Debt Repay'!C19</f>
        <v>0</v>
      </c>
      <c r="D33" s="7">
        <f>'Capital Deployment &amp; Debt Repay'!D19</f>
        <v>0</v>
      </c>
      <c r="E33" s="7">
        <f>'Capital Deployment &amp; Debt Repay'!E19</f>
        <v>0</v>
      </c>
      <c r="F33" s="7">
        <f>'Capital Deployment &amp; Debt Repay'!F19</f>
        <v>0</v>
      </c>
      <c r="H33" s="7">
        <f>'Capital Deployment &amp; Debt Repay'!H19</f>
        <v>0</v>
      </c>
      <c r="J33" s="7">
        <f>'Capital Deployment &amp; Debt Repay'!J19</f>
        <v>907557.01358497248</v>
      </c>
      <c r="K33" s="7">
        <f>'Capital Deployment &amp; Debt Repay'!K19</f>
        <v>1800231.6546820654</v>
      </c>
      <c r="L33" s="7">
        <f>'Capital Deployment &amp; Debt Repay'!L19</f>
        <v>2678267.9685771978</v>
      </c>
      <c r="M33" s="7">
        <f>'Capital Deployment &amp; Debt Repay'!M19</f>
        <v>4449463.0122187426</v>
      </c>
      <c r="O33" s="7">
        <f>'Capital Deployment &amp; Debt Repay'!O19</f>
        <v>4449463.0122187426</v>
      </c>
      <c r="Q33" s="7">
        <f>'Capital Deployment &amp; Debt Repay'!Q19</f>
        <v>6100857.8052408732</v>
      </c>
      <c r="R33" s="7">
        <f>'Capital Deployment &amp; Debt Repay'!R19</f>
        <v>7725172.5668529449</v>
      </c>
      <c r="S33" s="7">
        <f>'Capital Deployment &amp; Debt Repay'!S19</f>
        <v>10185030.525852297</v>
      </c>
      <c r="T33" s="7">
        <f>'Capital Deployment &amp; Debt Repay'!T19</f>
        <v>12604551.049445253</v>
      </c>
      <c r="V33" s="7">
        <f>'Capital Deployment &amp; Debt Repay'!V19</f>
        <v>12604551.049445253</v>
      </c>
      <c r="X33" s="7">
        <f>'Capital Deployment &amp; Debt Repay'!X19</f>
        <v>14855068.727687927</v>
      </c>
      <c r="Y33" s="7">
        <f>'Capital Deployment &amp; Debt Repay'!Y19</f>
        <v>17887751.995469272</v>
      </c>
      <c r="Z33" s="7">
        <f>'Capital Deployment &amp; Debt Repay'!Z19</f>
        <v>20870704.479009751</v>
      </c>
      <c r="AA33" s="7">
        <f>'Capital Deployment &amp; Debt Repay'!AA19</f>
        <v>24623811.882310186</v>
      </c>
      <c r="AC33" s="7">
        <f>'Capital Deployment &amp; Debt Repay'!AC19</f>
        <v>24623811.882310189</v>
      </c>
      <c r="AE33" s="7">
        <f>'Capital Deployment &amp; Debt Repay'!AE19</f>
        <v>28110607.234706603</v>
      </c>
      <c r="AF33" s="7">
        <f>'Capital Deployment &amp; Debt Repay'!AF19</f>
        <v>31540225.146516241</v>
      </c>
      <c r="AG33" s="7">
        <f>'Capital Deployment &amp; Debt Repay'!AG19</f>
        <v>34913603.229322702</v>
      </c>
      <c r="AH33" s="7">
        <f>'Capital Deployment &amp; Debt Repay'!AH19</f>
        <v>38231663.719493888</v>
      </c>
      <c r="AJ33" s="7">
        <f>'Capital Deployment &amp; Debt Repay'!AJ19</f>
        <v>38231663.719493888</v>
      </c>
    </row>
    <row r="34" spans="2:36" x14ac:dyDescent="0.2">
      <c r="B34" s="23" t="s">
        <v>137</v>
      </c>
      <c r="C34" s="24">
        <f>SUM(C33:C33)</f>
        <v>0</v>
      </c>
      <c r="D34" s="24">
        <f>SUM(D33:D33)</f>
        <v>0</v>
      </c>
      <c r="E34" s="24">
        <f>SUM(E33:E33)</f>
        <v>0</v>
      </c>
      <c r="F34" s="25">
        <f>SUM(F33:F33)</f>
        <v>0</v>
      </c>
      <c r="H34" s="26">
        <f>SUM(H33:H33)</f>
        <v>0</v>
      </c>
      <c r="I34" s="8"/>
      <c r="J34" s="29">
        <f>SUM(J33:J33)</f>
        <v>907557.01358497248</v>
      </c>
      <c r="K34" s="24">
        <f>SUM(K33:K33)</f>
        <v>1800231.6546820654</v>
      </c>
      <c r="L34" s="24">
        <f>SUM(L33:L33)</f>
        <v>2678267.9685771978</v>
      </c>
      <c r="M34" s="25">
        <f>SUM(M33:M33)</f>
        <v>4449463.0122187426</v>
      </c>
      <c r="O34" s="26">
        <f>SUM(O33:O33)</f>
        <v>4449463.0122187426</v>
      </c>
      <c r="P34" s="8"/>
      <c r="Q34" s="29">
        <f>SUM(Q33:Q33)</f>
        <v>6100857.8052408732</v>
      </c>
      <c r="R34" s="24">
        <f>SUM(R33:R33)</f>
        <v>7725172.5668529449</v>
      </c>
      <c r="S34" s="24">
        <f>SUM(S33:S33)</f>
        <v>10185030.525852297</v>
      </c>
      <c r="T34" s="25">
        <f>SUM(T33:T33)</f>
        <v>12604551.049445253</v>
      </c>
      <c r="V34" s="26">
        <f>SUM(V33:V33)</f>
        <v>12604551.049445253</v>
      </c>
      <c r="W34" s="8"/>
      <c r="X34" s="29">
        <f>SUM(X33:X33)</f>
        <v>14855068.727687927</v>
      </c>
      <c r="Y34" s="24">
        <f>SUM(Y33:Y33)</f>
        <v>17887751.995469272</v>
      </c>
      <c r="Z34" s="24">
        <f>SUM(Z33:Z33)</f>
        <v>20870704.479009751</v>
      </c>
      <c r="AA34" s="25">
        <f>SUM(AA33:AA33)</f>
        <v>24623811.882310186</v>
      </c>
      <c r="AC34" s="26">
        <f>SUM(AC33:AC33)</f>
        <v>24623811.882310189</v>
      </c>
      <c r="AD34" s="8"/>
      <c r="AE34" s="29">
        <f>SUM(AE33:AE33)</f>
        <v>28110607.234706603</v>
      </c>
      <c r="AF34" s="24">
        <f>SUM(AF33:AF33)</f>
        <v>31540225.146516241</v>
      </c>
      <c r="AG34" s="24">
        <f>SUM(AG33:AG33)</f>
        <v>34913603.229322702</v>
      </c>
      <c r="AH34" s="25">
        <f>SUM(AH33:AH33)</f>
        <v>38231663.719493888</v>
      </c>
      <c r="AJ34" s="26">
        <f>SUM(AJ33:AJ33)</f>
        <v>38231663.719493888</v>
      </c>
    </row>
    <row r="35" spans="2:36" x14ac:dyDescent="0.2">
      <c r="C35" s="7"/>
      <c r="D35" s="7"/>
      <c r="E35" s="7"/>
      <c r="F35" s="7"/>
      <c r="H35" s="7"/>
      <c r="J35" s="7"/>
      <c r="K35" s="7"/>
      <c r="L35" s="7"/>
      <c r="M35" s="7"/>
      <c r="O35" s="7"/>
      <c r="Q35" s="7"/>
      <c r="R35" s="7"/>
      <c r="S35" s="7"/>
      <c r="T35" s="7"/>
      <c r="V35" s="7"/>
      <c r="X35" s="7"/>
      <c r="Y35" s="7"/>
      <c r="Z35" s="7"/>
      <c r="AA35" s="7"/>
      <c r="AC35" s="7"/>
      <c r="AE35" s="7"/>
      <c r="AF35" s="7"/>
      <c r="AG35" s="7"/>
      <c r="AH35" s="7"/>
      <c r="AJ35" s="7"/>
    </row>
    <row r="36" spans="2:36" x14ac:dyDescent="0.2">
      <c r="B36" s="8" t="s">
        <v>138</v>
      </c>
      <c r="C36" s="9"/>
      <c r="D36" s="9"/>
      <c r="E36" s="9"/>
      <c r="F36" s="9"/>
      <c r="H36" s="9"/>
      <c r="J36" s="9"/>
      <c r="K36" s="9"/>
      <c r="L36" s="9"/>
      <c r="M36" s="9"/>
      <c r="O36" s="9"/>
      <c r="Q36" s="9"/>
      <c r="R36" s="9"/>
      <c r="S36" s="9"/>
      <c r="T36" s="9"/>
      <c r="V36" s="9"/>
      <c r="X36" s="9"/>
      <c r="Y36" s="9"/>
      <c r="Z36" s="9"/>
      <c r="AA36" s="9"/>
      <c r="AC36" s="9"/>
      <c r="AE36" s="9"/>
      <c r="AF36" s="9"/>
      <c r="AG36" s="9"/>
      <c r="AH36" s="9"/>
      <c r="AJ36" s="9"/>
    </row>
    <row r="37" spans="2:36" x14ac:dyDescent="0.2">
      <c r="B37" s="5" t="s">
        <v>139</v>
      </c>
      <c r="C37" s="7">
        <f>'Cashflow Statement'!C28</f>
        <v>1500000</v>
      </c>
      <c r="D37" s="7">
        <f>C37+'Cashflow Statement'!D28</f>
        <v>1500000</v>
      </c>
      <c r="E37" s="7">
        <f>D37+'Cashflow Statement'!E28</f>
        <v>1500000</v>
      </c>
      <c r="F37" s="7">
        <f>E37+'Cashflow Statement'!F28</f>
        <v>1500000</v>
      </c>
      <c r="H37" s="7">
        <f>F37</f>
        <v>1500000</v>
      </c>
      <c r="J37" s="7">
        <f>F37+'Cashflow Statement'!J28</f>
        <v>3000000</v>
      </c>
      <c r="K37" s="7">
        <f>J37+'Cashflow Statement'!K28</f>
        <v>3000000</v>
      </c>
      <c r="L37" s="7">
        <f>K37+'Cashflow Statement'!L28</f>
        <v>3000000</v>
      </c>
      <c r="M37" s="7">
        <f>L37+'Cashflow Statement'!M28</f>
        <v>3000000</v>
      </c>
      <c r="O37" s="7">
        <f>M37</f>
        <v>3000000</v>
      </c>
      <c r="Q37" s="7">
        <f>M37+'Cashflow Statement'!Q28</f>
        <v>3000000</v>
      </c>
      <c r="R37" s="7">
        <f>Q37+'Cashflow Statement'!R28</f>
        <v>3000000</v>
      </c>
      <c r="S37" s="7">
        <f>R37+'Cashflow Statement'!S28</f>
        <v>3000000</v>
      </c>
      <c r="T37" s="7">
        <f>S37+'Cashflow Statement'!T28</f>
        <v>3000000</v>
      </c>
      <c r="V37" s="7">
        <f>T37</f>
        <v>3000000</v>
      </c>
      <c r="X37" s="7">
        <f>T37+'Cashflow Statement'!X28</f>
        <v>3000000</v>
      </c>
      <c r="Y37" s="7">
        <f>X37+'Cashflow Statement'!Y28</f>
        <v>3000000</v>
      </c>
      <c r="Z37" s="7">
        <f>Y37+'Cashflow Statement'!Z28</f>
        <v>3000000</v>
      </c>
      <c r="AA37" s="7">
        <f>Z37+'Cashflow Statement'!AA28</f>
        <v>3000000</v>
      </c>
      <c r="AC37" s="7">
        <f>AA37</f>
        <v>3000000</v>
      </c>
      <c r="AE37" s="7">
        <f>AA37+'Cashflow Statement'!AE28</f>
        <v>3000000</v>
      </c>
      <c r="AF37" s="7">
        <f>AE37+'Cashflow Statement'!AF28</f>
        <v>3000000</v>
      </c>
      <c r="AG37" s="7">
        <f>AF37+'Cashflow Statement'!AG28</f>
        <v>3000000</v>
      </c>
      <c r="AH37" s="7">
        <f>AG37+'Cashflow Statement'!AH28</f>
        <v>3000000</v>
      </c>
      <c r="AJ37" s="7">
        <f>AH37</f>
        <v>3000000</v>
      </c>
    </row>
    <row r="38" spans="2:36" x14ac:dyDescent="0.2">
      <c r="B38" s="5" t="s">
        <v>140</v>
      </c>
      <c r="C38" s="7">
        <f>'Income Statement'!C43</f>
        <v>2625</v>
      </c>
      <c r="D38" s="7">
        <f>C38+'Income Statement'!D43</f>
        <v>5250</v>
      </c>
      <c r="E38" s="7">
        <f>D38+'Income Statement'!E43</f>
        <v>26250</v>
      </c>
      <c r="F38" s="7">
        <f>E38+'Income Statement'!F43</f>
        <v>31500</v>
      </c>
      <c r="H38" s="7">
        <f>'Income Statement'!H43</f>
        <v>31500</v>
      </c>
      <c r="J38" s="7">
        <f>F38+'Income Statement'!J43</f>
        <v>142935.08229622542</v>
      </c>
      <c r="K38" s="7">
        <f>J38+'Income Statement'!K43</f>
        <v>506123.91216349445</v>
      </c>
      <c r="L38" s="7">
        <f>K38+'Income Statement'!L43</f>
        <v>1355538.952205149</v>
      </c>
      <c r="M38" s="7">
        <f>L38+'Income Statement'!M43</f>
        <v>2255213.8401029222</v>
      </c>
      <c r="O38" s="7">
        <f>H38+'Income Statement'!O43</f>
        <v>2255213.8401029222</v>
      </c>
      <c r="Q38" s="7">
        <f>M38+'Income Statement'!Q43</f>
        <v>3858655.7915283376</v>
      </c>
      <c r="R38" s="7">
        <f>Q38+'Income Statement'!R43</f>
        <v>5527466.1151294708</v>
      </c>
      <c r="S38" s="7">
        <f>R38+'Income Statement'!S43</f>
        <v>7293066.2684180159</v>
      </c>
      <c r="T38" s="7">
        <f>S38+'Income Statement'!T43</f>
        <v>9157584.2462295089</v>
      </c>
      <c r="V38" s="7">
        <f>O38+'Income Statement'!V43</f>
        <v>9157584.246229507</v>
      </c>
      <c r="X38" s="7">
        <f>T38+'Income Statement'!X43</f>
        <v>11871612.050434783</v>
      </c>
      <c r="Y38" s="7">
        <f>X38+'Income Statement'!Y43</f>
        <v>16061686.984589072</v>
      </c>
      <c r="Z38" s="7">
        <f>Y38+'Income Statement'!Z43</f>
        <v>20420264.792700596</v>
      </c>
      <c r="AA38" s="7">
        <f>Z38+'Income Statement'!AA43</f>
        <v>24988148.174598947</v>
      </c>
      <c r="AC38" s="7">
        <f>V38+'Income Statement'!AC43</f>
        <v>24988148.174598936</v>
      </c>
      <c r="AE38" s="7">
        <f>AA38+'Income Statement'!AE43</f>
        <v>30286654.339200214</v>
      </c>
      <c r="AF38" s="7">
        <f>AE38+'Income Statement'!AF43</f>
        <v>35829018.574061915</v>
      </c>
      <c r="AG38" s="7">
        <f>AF38+'Income Statement'!AG43</f>
        <v>41671000.411915191</v>
      </c>
      <c r="AH38" s="7">
        <f>AG38+'Income Statement'!AH43</f>
        <v>47764824.547078878</v>
      </c>
      <c r="AJ38" s="7">
        <f>AC38+'Income Statement'!AJ43</f>
        <v>47764824.547078863</v>
      </c>
    </row>
    <row r="39" spans="2:36" x14ac:dyDescent="0.2">
      <c r="B39" s="23" t="s">
        <v>141</v>
      </c>
      <c r="C39" s="24">
        <f>SUM(C37:C38)</f>
        <v>1502625</v>
      </c>
      <c r="D39" s="24">
        <f t="shared" ref="D39:H39" si="69">SUM(D37:D38)</f>
        <v>1505250</v>
      </c>
      <c r="E39" s="24">
        <f t="shared" si="69"/>
        <v>1526250</v>
      </c>
      <c r="F39" s="25">
        <f t="shared" si="69"/>
        <v>1531500</v>
      </c>
      <c r="H39" s="26">
        <f t="shared" si="69"/>
        <v>1531500</v>
      </c>
      <c r="I39" s="8"/>
      <c r="J39" s="29">
        <f>SUM(J37:J38)</f>
        <v>3142935.0822962252</v>
      </c>
      <c r="K39" s="24">
        <f t="shared" ref="K39" si="70">SUM(K37:K38)</f>
        <v>3506123.9121634946</v>
      </c>
      <c r="L39" s="24">
        <f t="shared" ref="L39" si="71">SUM(L37:L38)</f>
        <v>4355538.9522051495</v>
      </c>
      <c r="M39" s="25">
        <f t="shared" ref="M39" si="72">SUM(M37:M38)</f>
        <v>5255213.8401029222</v>
      </c>
      <c r="O39" s="26">
        <f t="shared" ref="O39" si="73">SUM(O37:O38)</f>
        <v>5255213.8401029222</v>
      </c>
      <c r="P39" s="8"/>
      <c r="Q39" s="29">
        <f>SUM(Q37:Q38)</f>
        <v>6858655.7915283376</v>
      </c>
      <c r="R39" s="24">
        <f t="shared" ref="R39" si="74">SUM(R37:R38)</f>
        <v>8527466.1151294708</v>
      </c>
      <c r="S39" s="24">
        <f t="shared" ref="S39" si="75">SUM(S37:S38)</f>
        <v>10293066.268418016</v>
      </c>
      <c r="T39" s="25">
        <f t="shared" ref="T39" si="76">SUM(T37:T38)</f>
        <v>12157584.246229509</v>
      </c>
      <c r="V39" s="26">
        <f t="shared" ref="V39" si="77">SUM(V37:V38)</f>
        <v>12157584.246229507</v>
      </c>
      <c r="W39" s="8"/>
      <c r="X39" s="29">
        <f>SUM(X37:X38)</f>
        <v>14871612.050434783</v>
      </c>
      <c r="Y39" s="24">
        <f t="shared" ref="Y39" si="78">SUM(Y37:Y38)</f>
        <v>19061686.98458907</v>
      </c>
      <c r="Z39" s="24">
        <f t="shared" ref="Z39" si="79">SUM(Z37:Z38)</f>
        <v>23420264.792700596</v>
      </c>
      <c r="AA39" s="25">
        <f t="shared" ref="AA39" si="80">SUM(AA37:AA38)</f>
        <v>27988148.174598947</v>
      </c>
      <c r="AC39" s="26">
        <f t="shared" ref="AC39" si="81">SUM(AC37:AC38)</f>
        <v>27988148.174598936</v>
      </c>
      <c r="AD39" s="8"/>
      <c r="AE39" s="29">
        <f>SUM(AE37:AE38)</f>
        <v>33286654.339200214</v>
      </c>
      <c r="AF39" s="24">
        <f t="shared" ref="AF39" si="82">SUM(AF37:AF38)</f>
        <v>38829018.574061915</v>
      </c>
      <c r="AG39" s="24">
        <f t="shared" ref="AG39" si="83">SUM(AG37:AG38)</f>
        <v>44671000.411915191</v>
      </c>
      <c r="AH39" s="25">
        <f t="shared" ref="AH39" si="84">SUM(AH37:AH38)</f>
        <v>50764824.547078878</v>
      </c>
      <c r="AJ39" s="26">
        <f t="shared" ref="AJ39" si="85">SUM(AJ37:AJ38)</f>
        <v>50764824.547078863</v>
      </c>
    </row>
    <row r="40" spans="2:36" ht="16" thickBot="1" x14ac:dyDescent="0.25">
      <c r="C40" s="7"/>
      <c r="D40" s="7"/>
      <c r="E40" s="7"/>
      <c r="F40" s="7"/>
      <c r="H40" s="7"/>
      <c r="J40" s="7"/>
      <c r="K40" s="7"/>
      <c r="L40" s="7"/>
      <c r="M40" s="7"/>
      <c r="O40" s="7"/>
      <c r="Q40" s="7"/>
      <c r="R40" s="7"/>
      <c r="S40" s="7"/>
      <c r="T40" s="7"/>
      <c r="V40" s="7"/>
      <c r="X40" s="7"/>
      <c r="Y40" s="7"/>
      <c r="Z40" s="7"/>
      <c r="AA40" s="7"/>
      <c r="AC40" s="7"/>
      <c r="AE40" s="7"/>
      <c r="AF40" s="7"/>
      <c r="AG40" s="7"/>
      <c r="AH40" s="7"/>
      <c r="AJ40" s="7"/>
    </row>
    <row r="41" spans="2:36" ht="16" thickBot="1" x14ac:dyDescent="0.25">
      <c r="B41" s="10" t="s">
        <v>142</v>
      </c>
      <c r="C41" s="11">
        <f>C39+C34+C30</f>
        <v>1552606.9444444445</v>
      </c>
      <c r="D41" s="11">
        <f t="shared" ref="D41:O41" si="86">D39+D34+D30</f>
        <v>1555231.9444444445</v>
      </c>
      <c r="E41" s="11">
        <f t="shared" si="86"/>
        <v>1621838.888888889</v>
      </c>
      <c r="F41" s="12">
        <f t="shared" si="86"/>
        <v>1631463.888888889</v>
      </c>
      <c r="H41" s="13">
        <f t="shared" si="86"/>
        <v>1701463.888888889</v>
      </c>
      <c r="J41" s="14">
        <f t="shared" si="86"/>
        <v>4351446.5540416799</v>
      </c>
      <c r="K41" s="11">
        <f t="shared" si="86"/>
        <v>5702556.4829345495</v>
      </c>
      <c r="L41" s="11">
        <f t="shared" si="86"/>
        <v>7601345.5385670671</v>
      </c>
      <c r="M41" s="12">
        <f t="shared" si="86"/>
        <v>10307192.111415738</v>
      </c>
      <c r="O41" s="13">
        <f t="shared" si="86"/>
        <v>10687817.111415738</v>
      </c>
      <c r="Q41" s="14">
        <f t="shared" ref="Q41:T41" si="87">Q39+Q34+Q30</f>
        <v>13803889.144229002</v>
      </c>
      <c r="R41" s="11">
        <f t="shared" si="87"/>
        <v>17134773.20813816</v>
      </c>
      <c r="S41" s="11">
        <f t="shared" si="87"/>
        <v>21416659.333707295</v>
      </c>
      <c r="T41" s="12">
        <f t="shared" si="87"/>
        <v>25757480.514198903</v>
      </c>
      <c r="V41" s="13">
        <f t="shared" ref="V41" si="88">V39+V34+V30</f>
        <v>26490643.014198899</v>
      </c>
      <c r="X41" s="14">
        <f t="shared" ref="X41:AA41" si="89">X39+X34+X30</f>
        <v>31123193.630212475</v>
      </c>
      <c r="Y41" s="11">
        <f t="shared" si="89"/>
        <v>38836874.549639612</v>
      </c>
      <c r="Z41" s="11">
        <f t="shared" si="89"/>
        <v>46257115.453617826</v>
      </c>
      <c r="AA41" s="12">
        <f t="shared" si="89"/>
        <v>54676274.001114413</v>
      </c>
      <c r="AC41" s="13">
        <f t="shared" ref="AC41" si="90">AC39+AC34+AC30</f>
        <v>56172504.313614413</v>
      </c>
      <c r="AE41" s="14">
        <f t="shared" ref="AE41:AH41" si="91">AE39+AE34+AE30</f>
        <v>63691002.380784802</v>
      </c>
      <c r="AF41" s="11">
        <f t="shared" si="91"/>
        <v>72769062.292291224</v>
      </c>
      <c r="AG41" s="11">
        <f t="shared" si="91"/>
        <v>82076293.445741206</v>
      </c>
      <c r="AH41" s="12">
        <f t="shared" si="91"/>
        <v>91594573.618544504</v>
      </c>
      <c r="AJ41" s="13">
        <f t="shared" ref="AJ41" si="92">AJ39+AJ34+AJ30</f>
        <v>93618391.524794474</v>
      </c>
    </row>
    <row r="42" spans="2:36" x14ac:dyDescent="0.2">
      <c r="B42" s="5" t="s">
        <v>143</v>
      </c>
      <c r="C42" s="71">
        <f>C41-C23</f>
        <v>0</v>
      </c>
      <c r="D42" s="71">
        <f t="shared" ref="D42:H42" si="93">D41-D23</f>
        <v>0</v>
      </c>
      <c r="E42" s="71">
        <f t="shared" si="93"/>
        <v>0</v>
      </c>
      <c r="F42" s="71">
        <f t="shared" si="93"/>
        <v>0</v>
      </c>
      <c r="H42" s="71">
        <f t="shared" si="93"/>
        <v>0</v>
      </c>
      <c r="J42" s="71">
        <f t="shared" ref="J42" si="94">J41-J23</f>
        <v>0</v>
      </c>
      <c r="K42" s="71">
        <f t="shared" ref="K42" si="95">K41-K23</f>
        <v>0</v>
      </c>
      <c r="L42" s="71">
        <f t="shared" ref="L42" si="96">L41-L23</f>
        <v>0</v>
      </c>
      <c r="M42" s="71">
        <f t="shared" ref="M42:O42" si="97">M41-M23</f>
        <v>0</v>
      </c>
      <c r="O42" s="71">
        <f t="shared" si="97"/>
        <v>0</v>
      </c>
      <c r="Q42" s="71">
        <f t="shared" ref="Q42" si="98">Q41-Q23</f>
        <v>0</v>
      </c>
      <c r="R42" s="71">
        <f t="shared" ref="R42" si="99">R41-R23</f>
        <v>0</v>
      </c>
      <c r="S42" s="71">
        <f t="shared" ref="S42" si="100">S41-S23</f>
        <v>0</v>
      </c>
      <c r="T42" s="71">
        <f t="shared" ref="T42:V42" si="101">T41-T23</f>
        <v>0</v>
      </c>
      <c r="V42" s="71">
        <f t="shared" si="101"/>
        <v>0</v>
      </c>
      <c r="X42" s="71">
        <f t="shared" ref="X42" si="102">X41-X23</f>
        <v>0</v>
      </c>
      <c r="Y42" s="71">
        <f t="shared" ref="Y42" si="103">Y41-Y23</f>
        <v>0</v>
      </c>
      <c r="Z42" s="71">
        <f t="shared" ref="Z42" si="104">Z41-Z23</f>
        <v>0</v>
      </c>
      <c r="AA42" s="71">
        <f t="shared" ref="AA42:AC42" si="105">AA41-AA23</f>
        <v>0</v>
      </c>
      <c r="AC42" s="71">
        <f t="shared" si="105"/>
        <v>0</v>
      </c>
      <c r="AE42" s="71">
        <f t="shared" ref="AE42" si="106">AE41-AE23</f>
        <v>0</v>
      </c>
      <c r="AF42" s="71">
        <f t="shared" ref="AF42" si="107">AF41-AF23</f>
        <v>0</v>
      </c>
      <c r="AG42" s="71">
        <f t="shared" ref="AG42" si="108">AG41-AG23</f>
        <v>0</v>
      </c>
      <c r="AH42" s="71">
        <f t="shared" ref="AH42" si="109">AH41-AH23</f>
        <v>0</v>
      </c>
      <c r="AJ42" s="71">
        <f t="shared" ref="AJ42" si="110">AJ41-AJ23</f>
        <v>0</v>
      </c>
    </row>
    <row r="44" spans="2:36" x14ac:dyDescent="0.2">
      <c r="C44" s="7"/>
      <c r="D44" s="7"/>
      <c r="E44" s="7"/>
      <c r="F44" s="7"/>
      <c r="H44" s="7"/>
      <c r="J44" s="7"/>
      <c r="K44" s="7"/>
      <c r="L44" s="7"/>
      <c r="M44" s="7"/>
      <c r="O44" s="7"/>
      <c r="Q44" s="7"/>
      <c r="R44" s="7"/>
      <c r="S44" s="7"/>
      <c r="T44" s="7"/>
      <c r="V44" s="7"/>
      <c r="X44" s="7"/>
      <c r="Y44" s="7"/>
      <c r="Z44" s="7"/>
      <c r="AA44" s="7"/>
      <c r="AC44" s="7"/>
      <c r="AE44" s="7"/>
      <c r="AF44" s="7"/>
      <c r="AG44" s="7"/>
      <c r="AH44" s="7"/>
      <c r="AJ44" s="7"/>
    </row>
    <row r="45" spans="2:36" x14ac:dyDescent="0.2">
      <c r="B45" s="8"/>
      <c r="C45" s="9"/>
      <c r="D45" s="9"/>
      <c r="E45" s="9"/>
      <c r="F45" s="9"/>
      <c r="H45" s="9"/>
      <c r="J45" s="9"/>
      <c r="K45" s="9"/>
      <c r="L45" s="9"/>
      <c r="M45" s="9"/>
      <c r="O45" s="9"/>
      <c r="Q45" s="9"/>
      <c r="R45" s="9"/>
      <c r="S45" s="9"/>
      <c r="T45" s="9"/>
      <c r="V45" s="9"/>
      <c r="X45" s="9"/>
      <c r="Y45" s="9"/>
      <c r="Z45" s="9"/>
      <c r="AA45" s="9"/>
      <c r="AC45" s="9"/>
      <c r="AE45" s="9"/>
      <c r="AF45" s="9"/>
      <c r="AG45" s="9"/>
      <c r="AH45" s="9"/>
      <c r="AJ45" s="9"/>
    </row>
    <row r="46" spans="2:36" x14ac:dyDescent="0.2">
      <c r="B46" s="27"/>
      <c r="C46" s="38"/>
      <c r="D46" s="38"/>
      <c r="E46" s="38"/>
      <c r="F46" s="38"/>
      <c r="H46" s="38"/>
      <c r="J46" s="38"/>
      <c r="K46" s="38"/>
      <c r="L46" s="38"/>
      <c r="M46" s="38"/>
      <c r="O46" s="38"/>
      <c r="Q46" s="38"/>
      <c r="R46" s="38"/>
      <c r="S46" s="38"/>
      <c r="T46" s="38"/>
      <c r="V46" s="38"/>
      <c r="X46" s="38"/>
      <c r="Y46" s="38"/>
      <c r="Z46" s="38"/>
      <c r="AA46" s="38"/>
      <c r="AC46" s="38"/>
      <c r="AE46" s="38"/>
      <c r="AF46" s="38"/>
      <c r="AG46" s="38"/>
      <c r="AH46" s="38"/>
      <c r="AJ46" s="38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BF03D-6ED1-4CC4-BFAA-A194C99FCCEA}">
  <sheetPr>
    <tabColor rgb="FF00B050"/>
  </sheetPr>
  <dimension ref="B1:N96"/>
  <sheetViews>
    <sheetView showGridLines="0" topLeftCell="A9" zoomScale="85" zoomScaleNormal="85" workbookViewId="0">
      <selection activeCell="L25" sqref="L25"/>
    </sheetView>
  </sheetViews>
  <sheetFormatPr baseColWidth="10" defaultColWidth="8.6640625" defaultRowHeight="15" x14ac:dyDescent="0.2"/>
  <cols>
    <col min="1" max="1" width="8.6640625" style="5"/>
    <col min="2" max="2" width="30.1640625" style="5" bestFit="1" customWidth="1"/>
    <col min="3" max="3" width="8.6640625" style="5"/>
    <col min="4" max="4" width="11.83203125" style="5" bestFit="1" customWidth="1"/>
    <col min="5" max="5" width="14.5" style="5" bestFit="1" customWidth="1"/>
    <col min="6" max="7" width="0" style="5" hidden="1" customWidth="1"/>
    <col min="8" max="8" width="13.83203125" style="5" customWidth="1"/>
    <col min="9" max="9" width="15.5" style="5" bestFit="1" customWidth="1"/>
    <col min="10" max="10" width="19.33203125" style="5" bestFit="1" customWidth="1"/>
    <col min="11" max="11" width="18.83203125" style="5" bestFit="1" customWidth="1"/>
    <col min="12" max="13" width="8.6640625" style="5"/>
    <col min="14" max="14" width="10.33203125" style="5" bestFit="1" customWidth="1"/>
    <col min="15" max="16384" width="8.6640625" style="5"/>
  </cols>
  <sheetData>
    <row r="1" spans="2:4" ht="20" x14ac:dyDescent="0.25">
      <c r="B1" s="34" t="s">
        <v>90</v>
      </c>
    </row>
    <row r="2" spans="2:4" x14ac:dyDescent="0.2">
      <c r="B2" s="8" t="s">
        <v>188</v>
      </c>
    </row>
    <row r="7" spans="2:4" x14ac:dyDescent="0.2">
      <c r="B7" s="77" t="s">
        <v>156</v>
      </c>
      <c r="C7" s="78"/>
      <c r="D7" s="79"/>
    </row>
    <row r="8" spans="2:4" x14ac:dyDescent="0.2">
      <c r="B8" s="80" t="s">
        <v>0</v>
      </c>
      <c r="C8" s="81"/>
      <c r="D8" s="82" t="s">
        <v>1</v>
      </c>
    </row>
    <row r="9" spans="2:4" x14ac:dyDescent="0.2">
      <c r="B9" s="83" t="s">
        <v>52</v>
      </c>
      <c r="D9" s="91">
        <v>259000</v>
      </c>
    </row>
    <row r="10" spans="2:4" x14ac:dyDescent="0.2">
      <c r="B10" s="92" t="s">
        <v>158</v>
      </c>
      <c r="C10" s="27"/>
      <c r="D10" s="93">
        <v>0.05</v>
      </c>
    </row>
    <row r="11" spans="2:4" x14ac:dyDescent="0.2">
      <c r="B11" s="92" t="s">
        <v>157</v>
      </c>
      <c r="C11" s="30">
        <v>0.25</v>
      </c>
      <c r="D11" s="94">
        <f>C11*D9</f>
        <v>64750</v>
      </c>
    </row>
    <row r="12" spans="2:4" x14ac:dyDescent="0.2">
      <c r="B12" s="92" t="s">
        <v>2</v>
      </c>
      <c r="C12" s="30">
        <f>100%-C11</f>
        <v>0.75</v>
      </c>
      <c r="D12" s="94">
        <f>C12*D9</f>
        <v>194250</v>
      </c>
    </row>
    <row r="13" spans="2:4" x14ac:dyDescent="0.2">
      <c r="B13" s="92" t="s">
        <v>3</v>
      </c>
      <c r="C13" s="30">
        <v>0.1</v>
      </c>
      <c r="D13" s="87"/>
    </row>
    <row r="14" spans="2:4" x14ac:dyDescent="0.2">
      <c r="B14" s="83"/>
      <c r="D14" s="87"/>
    </row>
    <row r="15" spans="2:4" x14ac:dyDescent="0.2">
      <c r="B15" s="92" t="s">
        <v>4</v>
      </c>
      <c r="C15" s="30">
        <v>0.08</v>
      </c>
      <c r="D15" s="87"/>
    </row>
    <row r="16" spans="2:4" x14ac:dyDescent="0.2">
      <c r="B16" s="83" t="s">
        <v>5</v>
      </c>
      <c r="C16" s="90">
        <v>10</v>
      </c>
      <c r="D16" s="87"/>
    </row>
    <row r="17" spans="2:14" x14ac:dyDescent="0.2">
      <c r="B17" s="84" t="s">
        <v>6</v>
      </c>
      <c r="C17" s="85">
        <f>C16*12</f>
        <v>120</v>
      </c>
      <c r="D17" s="88"/>
    </row>
    <row r="18" spans="2:14" x14ac:dyDescent="0.2">
      <c r="D18" s="22"/>
      <c r="E18" s="36"/>
    </row>
    <row r="21" spans="2:14" x14ac:dyDescent="0.2">
      <c r="B21" s="77" t="s">
        <v>39</v>
      </c>
      <c r="C21" s="78"/>
      <c r="D21" s="79"/>
      <c r="H21" s="77" t="s">
        <v>187</v>
      </c>
      <c r="I21" s="78"/>
      <c r="J21" s="78"/>
      <c r="K21" s="79"/>
    </row>
    <row r="22" spans="2:14" x14ac:dyDescent="0.2">
      <c r="B22" s="80" t="s">
        <v>0</v>
      </c>
      <c r="C22" s="81"/>
      <c r="D22" s="82" t="s">
        <v>1</v>
      </c>
      <c r="H22" s="80" t="s">
        <v>28</v>
      </c>
      <c r="I22" s="81" t="s">
        <v>29</v>
      </c>
      <c r="J22" s="81" t="s">
        <v>31</v>
      </c>
      <c r="K22" s="86" t="s">
        <v>32</v>
      </c>
    </row>
    <row r="23" spans="2:14" x14ac:dyDescent="0.2">
      <c r="B23" s="83" t="s">
        <v>148</v>
      </c>
      <c r="D23" s="91">
        <v>20000</v>
      </c>
      <c r="H23" s="83" t="s">
        <v>12</v>
      </c>
      <c r="I23" s="5" t="str">
        <f>H24</f>
        <v>FY26-27 Q2</v>
      </c>
      <c r="J23" s="90">
        <v>0</v>
      </c>
      <c r="K23" s="87">
        <f>J23</f>
        <v>0</v>
      </c>
    </row>
    <row r="24" spans="2:14" x14ac:dyDescent="0.2">
      <c r="B24" s="95" t="s">
        <v>35</v>
      </c>
      <c r="C24" s="96"/>
      <c r="D24" s="97">
        <v>0.05</v>
      </c>
      <c r="H24" s="83" t="s">
        <v>13</v>
      </c>
      <c r="I24" s="5" t="str">
        <f t="shared" ref="I24:I41" si="0">H25</f>
        <v>FY26-27 Q3</v>
      </c>
      <c r="J24" s="90">
        <v>0</v>
      </c>
      <c r="K24" s="87">
        <f>J24+K23</f>
        <v>0</v>
      </c>
      <c r="N24" s="22"/>
    </row>
    <row r="25" spans="2:14" x14ac:dyDescent="0.2">
      <c r="H25" s="83" t="s">
        <v>14</v>
      </c>
      <c r="I25" s="5" t="str">
        <f t="shared" si="0"/>
        <v>FY26-27 Q4</v>
      </c>
      <c r="J25" s="90">
        <v>0</v>
      </c>
      <c r="K25" s="87">
        <f t="shared" ref="K25:K42" si="1">J25+K24</f>
        <v>0</v>
      </c>
    </row>
    <row r="26" spans="2:14" x14ac:dyDescent="0.2">
      <c r="H26" s="83" t="s">
        <v>15</v>
      </c>
      <c r="I26" s="5" t="str">
        <f t="shared" si="0"/>
        <v>FY27-28 Q1</v>
      </c>
      <c r="J26" s="90">
        <v>5</v>
      </c>
      <c r="K26" s="87">
        <f t="shared" si="1"/>
        <v>5</v>
      </c>
    </row>
    <row r="27" spans="2:14" x14ac:dyDescent="0.2">
      <c r="H27" s="83" t="s">
        <v>16</v>
      </c>
      <c r="I27" s="5" t="str">
        <f t="shared" si="0"/>
        <v>FY27-28 Q2</v>
      </c>
      <c r="J27" s="90">
        <v>5</v>
      </c>
      <c r="K27" s="87">
        <f t="shared" si="1"/>
        <v>10</v>
      </c>
    </row>
    <row r="28" spans="2:14" x14ac:dyDescent="0.2">
      <c r="H28" s="83" t="s">
        <v>17</v>
      </c>
      <c r="I28" s="5" t="str">
        <f t="shared" si="0"/>
        <v>FY27-28 Q3</v>
      </c>
      <c r="J28" s="90">
        <v>5</v>
      </c>
      <c r="K28" s="87">
        <f t="shared" si="1"/>
        <v>15</v>
      </c>
    </row>
    <row r="29" spans="2:14" x14ac:dyDescent="0.2">
      <c r="H29" s="83" t="s">
        <v>18</v>
      </c>
      <c r="I29" s="5" t="str">
        <f t="shared" si="0"/>
        <v>FY27-28 Q4</v>
      </c>
      <c r="J29" s="90">
        <v>10</v>
      </c>
      <c r="K29" s="87">
        <f t="shared" si="1"/>
        <v>25</v>
      </c>
    </row>
    <row r="30" spans="2:14" x14ac:dyDescent="0.2">
      <c r="H30" s="83" t="s">
        <v>19</v>
      </c>
      <c r="I30" s="5" t="str">
        <f t="shared" si="0"/>
        <v>FY28-29 Q1</v>
      </c>
      <c r="J30" s="90">
        <v>10</v>
      </c>
      <c r="K30" s="87">
        <f t="shared" si="1"/>
        <v>35</v>
      </c>
    </row>
    <row r="31" spans="2:14" x14ac:dyDescent="0.2">
      <c r="H31" s="83" t="s">
        <v>20</v>
      </c>
      <c r="I31" s="5" t="str">
        <f t="shared" si="0"/>
        <v>FY28-29 Q2</v>
      </c>
      <c r="J31" s="90">
        <v>10</v>
      </c>
      <c r="K31" s="87">
        <f t="shared" si="1"/>
        <v>45</v>
      </c>
    </row>
    <row r="32" spans="2:14" x14ac:dyDescent="0.2">
      <c r="H32" s="83" t="s">
        <v>21</v>
      </c>
      <c r="I32" s="5" t="str">
        <f t="shared" si="0"/>
        <v>FY28-29 Q3</v>
      </c>
      <c r="J32" s="90">
        <v>15</v>
      </c>
      <c r="K32" s="87">
        <f t="shared" si="1"/>
        <v>60</v>
      </c>
    </row>
    <row r="33" spans="4:11" x14ac:dyDescent="0.2">
      <c r="H33" s="83" t="s">
        <v>22</v>
      </c>
      <c r="I33" s="5" t="str">
        <f t="shared" si="0"/>
        <v>FY28-29 Q4</v>
      </c>
      <c r="J33" s="90">
        <v>15</v>
      </c>
      <c r="K33" s="87">
        <f t="shared" si="1"/>
        <v>75</v>
      </c>
    </row>
    <row r="34" spans="4:11" x14ac:dyDescent="0.2">
      <c r="H34" s="83" t="s">
        <v>23</v>
      </c>
      <c r="I34" s="5" t="str">
        <f t="shared" si="0"/>
        <v>FY29-30 Q1</v>
      </c>
      <c r="J34" s="90">
        <v>15</v>
      </c>
      <c r="K34" s="110">
        <f t="shared" si="1"/>
        <v>90</v>
      </c>
    </row>
    <row r="35" spans="4:11" x14ac:dyDescent="0.2">
      <c r="D35" s="7"/>
      <c r="H35" s="83" t="s">
        <v>24</v>
      </c>
      <c r="I35" s="5" t="str">
        <f t="shared" si="0"/>
        <v>FY29-30 Q2</v>
      </c>
      <c r="J35" s="90">
        <v>20</v>
      </c>
      <c r="K35" s="87">
        <f t="shared" si="1"/>
        <v>110</v>
      </c>
    </row>
    <row r="36" spans="4:11" x14ac:dyDescent="0.2">
      <c r="D36" s="7"/>
      <c r="H36" s="83" t="s">
        <v>25</v>
      </c>
      <c r="I36" s="5" t="str">
        <f t="shared" si="0"/>
        <v>FY29-30 Q3</v>
      </c>
      <c r="J36" s="90">
        <v>20</v>
      </c>
      <c r="K36" s="87">
        <f t="shared" si="1"/>
        <v>130</v>
      </c>
    </row>
    <row r="37" spans="4:11" x14ac:dyDescent="0.2">
      <c r="H37" s="83" t="s">
        <v>26</v>
      </c>
      <c r="I37" s="5" t="str">
        <f t="shared" si="0"/>
        <v>FY29-30 Q4</v>
      </c>
      <c r="J37" s="90">
        <v>25</v>
      </c>
      <c r="K37" s="87">
        <f t="shared" si="1"/>
        <v>155</v>
      </c>
    </row>
    <row r="38" spans="4:11" x14ac:dyDescent="0.2">
      <c r="H38" s="83" t="s">
        <v>27</v>
      </c>
      <c r="I38" s="5" t="str">
        <f t="shared" si="0"/>
        <v>FY30-31 Q1</v>
      </c>
      <c r="J38" s="90">
        <v>25</v>
      </c>
      <c r="K38" s="87">
        <f t="shared" si="1"/>
        <v>180</v>
      </c>
    </row>
    <row r="39" spans="4:11" x14ac:dyDescent="0.2">
      <c r="H39" s="83" t="s">
        <v>180</v>
      </c>
      <c r="I39" s="5" t="str">
        <f t="shared" si="0"/>
        <v>FY30-31 Q2</v>
      </c>
      <c r="J39" s="90">
        <v>25</v>
      </c>
      <c r="K39" s="87">
        <f t="shared" si="1"/>
        <v>205</v>
      </c>
    </row>
    <row r="40" spans="4:11" x14ac:dyDescent="0.2">
      <c r="H40" s="83" t="s">
        <v>181</v>
      </c>
      <c r="I40" s="5" t="str">
        <f t="shared" si="0"/>
        <v>FY30-31 Q3</v>
      </c>
      <c r="J40" s="90">
        <v>25</v>
      </c>
      <c r="K40" s="87">
        <f t="shared" si="1"/>
        <v>230</v>
      </c>
    </row>
    <row r="41" spans="4:11" x14ac:dyDescent="0.2">
      <c r="H41" s="83" t="s">
        <v>182</v>
      </c>
      <c r="I41" s="5" t="str">
        <f t="shared" si="0"/>
        <v>FY30-31 Q4</v>
      </c>
      <c r="J41" s="90">
        <v>25</v>
      </c>
      <c r="K41" s="87">
        <f t="shared" si="1"/>
        <v>255</v>
      </c>
    </row>
    <row r="42" spans="4:11" x14ac:dyDescent="0.2">
      <c r="H42" s="83" t="s">
        <v>183</v>
      </c>
      <c r="I42" s="5" t="str">
        <f>H42</f>
        <v>FY30-31 Q4</v>
      </c>
      <c r="J42" s="90">
        <v>25</v>
      </c>
      <c r="K42" s="87">
        <f t="shared" si="1"/>
        <v>280</v>
      </c>
    </row>
    <row r="43" spans="4:11" x14ac:dyDescent="0.2">
      <c r="H43" s="84"/>
      <c r="I43" s="89" t="s">
        <v>30</v>
      </c>
      <c r="J43" s="89">
        <f>SUM(J23:J42)</f>
        <v>280</v>
      </c>
      <c r="K43" s="88"/>
    </row>
    <row r="49" spans="2:11" x14ac:dyDescent="0.2">
      <c r="B49" s="77" t="s">
        <v>40</v>
      </c>
      <c r="C49" s="78"/>
      <c r="D49" s="79"/>
      <c r="H49" s="77" t="s">
        <v>186</v>
      </c>
      <c r="I49" s="78"/>
      <c r="J49" s="78"/>
      <c r="K49" s="79"/>
    </row>
    <row r="50" spans="2:11" x14ac:dyDescent="0.2">
      <c r="B50" s="80" t="s">
        <v>0</v>
      </c>
      <c r="C50" s="81"/>
      <c r="D50" s="82" t="s">
        <v>1</v>
      </c>
      <c r="H50" s="80" t="s">
        <v>28</v>
      </c>
      <c r="I50" s="81" t="s">
        <v>29</v>
      </c>
      <c r="J50" s="81" t="s">
        <v>31</v>
      </c>
      <c r="K50" s="86" t="s">
        <v>32</v>
      </c>
    </row>
    <row r="51" spans="2:11" x14ac:dyDescent="0.2">
      <c r="B51" s="83" t="s">
        <v>41</v>
      </c>
      <c r="D51" s="91">
        <v>35000</v>
      </c>
      <c r="H51" s="83" t="str">
        <f>H23</f>
        <v>FY26-27 Q1</v>
      </c>
      <c r="I51" s="5" t="str">
        <f>H52</f>
        <v>FY26-27 Q2</v>
      </c>
      <c r="J51" s="90">
        <v>0</v>
      </c>
      <c r="K51" s="87">
        <f>J51</f>
        <v>0</v>
      </c>
    </row>
    <row r="52" spans="2:11" x14ac:dyDescent="0.2">
      <c r="B52" s="95" t="s">
        <v>35</v>
      </c>
      <c r="C52" s="96"/>
      <c r="D52" s="97">
        <v>0.05</v>
      </c>
      <c r="H52" s="83" t="str">
        <f t="shared" ref="H52:H70" si="2">H24</f>
        <v>FY26-27 Q2</v>
      </c>
      <c r="I52" s="5" t="str">
        <f t="shared" ref="I52:I69" si="3">H53</f>
        <v>FY26-27 Q3</v>
      </c>
      <c r="J52" s="90">
        <v>0</v>
      </c>
      <c r="K52" s="87">
        <f>J52+K51</f>
        <v>0</v>
      </c>
    </row>
    <row r="53" spans="2:11" x14ac:dyDescent="0.2">
      <c r="H53" s="83" t="str">
        <f t="shared" si="2"/>
        <v>FY26-27 Q3</v>
      </c>
      <c r="I53" s="5" t="str">
        <f t="shared" si="3"/>
        <v>FY26-27 Q4</v>
      </c>
      <c r="J53" s="90">
        <v>0</v>
      </c>
      <c r="K53" s="87">
        <f t="shared" ref="K53:K70" si="4">J53+K52</f>
        <v>0</v>
      </c>
    </row>
    <row r="54" spans="2:11" x14ac:dyDescent="0.2">
      <c r="H54" s="83" t="str">
        <f t="shared" si="2"/>
        <v>FY26-27 Q4</v>
      </c>
      <c r="I54" s="5" t="str">
        <f t="shared" si="3"/>
        <v>FY27-28 Q1</v>
      </c>
      <c r="J54" s="90">
        <v>0</v>
      </c>
      <c r="K54" s="87">
        <f t="shared" si="4"/>
        <v>0</v>
      </c>
    </row>
    <row r="55" spans="2:11" x14ac:dyDescent="0.2">
      <c r="H55" s="83" t="str">
        <f t="shared" si="2"/>
        <v>FY27-28 Q1</v>
      </c>
      <c r="I55" s="5" t="str">
        <f t="shared" si="3"/>
        <v>FY27-28 Q2</v>
      </c>
      <c r="J55" s="90">
        <v>10</v>
      </c>
      <c r="K55" s="87">
        <f t="shared" si="4"/>
        <v>10</v>
      </c>
    </row>
    <row r="56" spans="2:11" x14ac:dyDescent="0.2">
      <c r="H56" s="83" t="str">
        <f t="shared" si="2"/>
        <v>FY27-28 Q2</v>
      </c>
      <c r="I56" s="5" t="str">
        <f t="shared" si="3"/>
        <v>FY27-28 Q3</v>
      </c>
      <c r="J56" s="90">
        <v>30</v>
      </c>
      <c r="K56" s="87">
        <f t="shared" si="4"/>
        <v>40</v>
      </c>
    </row>
    <row r="57" spans="2:11" x14ac:dyDescent="0.2">
      <c r="H57" s="83" t="str">
        <f t="shared" si="2"/>
        <v>FY27-28 Q3</v>
      </c>
      <c r="I57" s="5" t="str">
        <f t="shared" si="3"/>
        <v>FY27-28 Q4</v>
      </c>
      <c r="J57" s="90">
        <v>30</v>
      </c>
      <c r="K57" s="87">
        <f t="shared" si="4"/>
        <v>70</v>
      </c>
    </row>
    <row r="58" spans="2:11" x14ac:dyDescent="0.2">
      <c r="H58" s="83" t="str">
        <f t="shared" si="2"/>
        <v>FY27-28 Q4</v>
      </c>
      <c r="I58" s="5" t="str">
        <f t="shared" si="3"/>
        <v>FY28-29 Q1</v>
      </c>
      <c r="J58" s="90">
        <v>50</v>
      </c>
      <c r="K58" s="87">
        <f t="shared" si="4"/>
        <v>120</v>
      </c>
    </row>
    <row r="59" spans="2:11" x14ac:dyDescent="0.2">
      <c r="H59" s="83" t="str">
        <f t="shared" si="2"/>
        <v>FY28-29 Q1</v>
      </c>
      <c r="I59" s="5" t="str">
        <f t="shared" si="3"/>
        <v>FY28-29 Q2</v>
      </c>
      <c r="J59" s="90">
        <v>50</v>
      </c>
      <c r="K59" s="87">
        <f t="shared" si="4"/>
        <v>170</v>
      </c>
    </row>
    <row r="60" spans="2:11" x14ac:dyDescent="0.2">
      <c r="H60" s="83" t="str">
        <f t="shared" si="2"/>
        <v>FY28-29 Q2</v>
      </c>
      <c r="I60" s="5" t="str">
        <f t="shared" si="3"/>
        <v>FY28-29 Q3</v>
      </c>
      <c r="J60" s="90">
        <v>50</v>
      </c>
      <c r="K60" s="87">
        <f t="shared" si="4"/>
        <v>220</v>
      </c>
    </row>
    <row r="61" spans="2:11" x14ac:dyDescent="0.2">
      <c r="H61" s="83" t="str">
        <f t="shared" si="2"/>
        <v>FY28-29 Q3</v>
      </c>
      <c r="I61" s="5" t="str">
        <f t="shared" si="3"/>
        <v>FY28-29 Q4</v>
      </c>
      <c r="J61" s="90">
        <v>50</v>
      </c>
      <c r="K61" s="87">
        <f t="shared" si="4"/>
        <v>270</v>
      </c>
    </row>
    <row r="62" spans="2:11" x14ac:dyDescent="0.2">
      <c r="H62" s="83" t="str">
        <f t="shared" si="2"/>
        <v>FY28-29 Q4</v>
      </c>
      <c r="I62" s="5" t="str">
        <f t="shared" si="3"/>
        <v>FY29-30 Q1</v>
      </c>
      <c r="J62" s="90">
        <v>50</v>
      </c>
      <c r="K62" s="110">
        <f t="shared" si="4"/>
        <v>320</v>
      </c>
    </row>
    <row r="63" spans="2:11" x14ac:dyDescent="0.2">
      <c r="H63" s="83" t="str">
        <f t="shared" si="2"/>
        <v>FY29-30 Q1</v>
      </c>
      <c r="I63" s="5" t="str">
        <f t="shared" si="3"/>
        <v>FY29-30 Q2</v>
      </c>
      <c r="J63" s="90">
        <v>100</v>
      </c>
      <c r="K63" s="87">
        <f t="shared" si="4"/>
        <v>420</v>
      </c>
    </row>
    <row r="64" spans="2:11" x14ac:dyDescent="0.2">
      <c r="H64" s="83" t="str">
        <f t="shared" si="2"/>
        <v>FY29-30 Q2</v>
      </c>
      <c r="I64" s="5" t="str">
        <f t="shared" si="3"/>
        <v>FY29-30 Q3</v>
      </c>
      <c r="J64" s="90">
        <v>100</v>
      </c>
      <c r="K64" s="87">
        <f t="shared" si="4"/>
        <v>520</v>
      </c>
    </row>
    <row r="65" spans="2:11" x14ac:dyDescent="0.2">
      <c r="H65" s="83" t="str">
        <f t="shared" si="2"/>
        <v>FY29-30 Q3</v>
      </c>
      <c r="I65" s="5" t="str">
        <f t="shared" si="3"/>
        <v>FY29-30 Q4</v>
      </c>
      <c r="J65" s="90">
        <v>100</v>
      </c>
      <c r="K65" s="87">
        <f t="shared" si="4"/>
        <v>620</v>
      </c>
    </row>
    <row r="66" spans="2:11" x14ac:dyDescent="0.2">
      <c r="H66" s="83" t="str">
        <f t="shared" si="2"/>
        <v>FY29-30 Q4</v>
      </c>
      <c r="I66" s="5" t="str">
        <f t="shared" si="3"/>
        <v>FY30-31 Q1</v>
      </c>
      <c r="J66" s="90">
        <v>100</v>
      </c>
      <c r="K66" s="87">
        <f t="shared" si="4"/>
        <v>720</v>
      </c>
    </row>
    <row r="67" spans="2:11" x14ac:dyDescent="0.2">
      <c r="H67" s="83" t="str">
        <f t="shared" si="2"/>
        <v>FY30-31 Q1</v>
      </c>
      <c r="I67" s="5" t="str">
        <f t="shared" si="3"/>
        <v>FY30-31 Q2</v>
      </c>
      <c r="J67" s="90">
        <v>100</v>
      </c>
      <c r="K67" s="87">
        <f t="shared" si="4"/>
        <v>820</v>
      </c>
    </row>
    <row r="68" spans="2:11" x14ac:dyDescent="0.2">
      <c r="H68" s="83" t="str">
        <f t="shared" si="2"/>
        <v>FY30-31 Q2</v>
      </c>
      <c r="I68" s="5" t="str">
        <f t="shared" si="3"/>
        <v>FY30-31 Q3</v>
      </c>
      <c r="J68" s="90">
        <v>100</v>
      </c>
      <c r="K68" s="87">
        <f t="shared" si="4"/>
        <v>920</v>
      </c>
    </row>
    <row r="69" spans="2:11" x14ac:dyDescent="0.2">
      <c r="H69" s="83" t="str">
        <f t="shared" si="2"/>
        <v>FY30-31 Q3</v>
      </c>
      <c r="I69" s="5" t="str">
        <f t="shared" si="3"/>
        <v>FY30-31 Q4</v>
      </c>
      <c r="J69" s="90">
        <v>100</v>
      </c>
      <c r="K69" s="87">
        <f t="shared" si="4"/>
        <v>1020</v>
      </c>
    </row>
    <row r="70" spans="2:11" x14ac:dyDescent="0.2">
      <c r="H70" s="83" t="str">
        <f t="shared" si="2"/>
        <v>FY30-31 Q4</v>
      </c>
      <c r="I70" s="5" t="str">
        <f>H70</f>
        <v>FY30-31 Q4</v>
      </c>
      <c r="J70" s="90">
        <v>100</v>
      </c>
      <c r="K70" s="87">
        <f t="shared" si="4"/>
        <v>1120</v>
      </c>
    </row>
    <row r="71" spans="2:11" x14ac:dyDescent="0.2">
      <c r="H71" s="84"/>
      <c r="I71" s="89" t="s">
        <v>30</v>
      </c>
      <c r="J71" s="89">
        <f>SUM(J51:J70)</f>
        <v>1120</v>
      </c>
      <c r="K71" s="88"/>
    </row>
    <row r="74" spans="2:11" x14ac:dyDescent="0.2">
      <c r="B74" s="77" t="s">
        <v>179</v>
      </c>
      <c r="C74" s="78"/>
      <c r="D74" s="79"/>
      <c r="H74" s="77" t="s">
        <v>185</v>
      </c>
      <c r="I74" s="78"/>
      <c r="J74" s="78"/>
      <c r="K74" s="79"/>
    </row>
    <row r="75" spans="2:11" x14ac:dyDescent="0.2">
      <c r="B75" s="80" t="s">
        <v>0</v>
      </c>
      <c r="C75" s="81"/>
      <c r="D75" s="82" t="s">
        <v>1</v>
      </c>
      <c r="H75" s="80" t="s">
        <v>28</v>
      </c>
      <c r="I75" s="81" t="s">
        <v>29</v>
      </c>
      <c r="J75" s="81" t="s">
        <v>31</v>
      </c>
      <c r="K75" s="86" t="s">
        <v>32</v>
      </c>
    </row>
    <row r="76" spans="2:11" x14ac:dyDescent="0.2">
      <c r="B76" s="83" t="s">
        <v>46</v>
      </c>
      <c r="D76" s="91">
        <v>350000</v>
      </c>
      <c r="H76" s="83" t="str">
        <f>H23</f>
        <v>FY26-27 Q1</v>
      </c>
      <c r="I76" s="5" t="str">
        <f>H76</f>
        <v>FY26-27 Q1</v>
      </c>
      <c r="J76" s="90">
        <v>1</v>
      </c>
      <c r="K76" s="87">
        <f>J76</f>
        <v>1</v>
      </c>
    </row>
    <row r="77" spans="2:11" x14ac:dyDescent="0.2">
      <c r="B77" s="95" t="s">
        <v>35</v>
      </c>
      <c r="C77" s="96"/>
      <c r="D77" s="97">
        <v>0.05</v>
      </c>
      <c r="H77" s="83" t="str">
        <f t="shared" ref="H77:H95" si="5">H24</f>
        <v>FY26-27 Q2</v>
      </c>
      <c r="I77" s="5" t="str">
        <f t="shared" ref="I77:I94" si="6">H77</f>
        <v>FY26-27 Q2</v>
      </c>
      <c r="J77" s="90">
        <v>1</v>
      </c>
      <c r="K77" s="87">
        <f>J77+K76</f>
        <v>2</v>
      </c>
    </row>
    <row r="78" spans="2:11" x14ac:dyDescent="0.2">
      <c r="H78" s="83" t="str">
        <f t="shared" si="5"/>
        <v>FY26-27 Q3</v>
      </c>
      <c r="I78" s="5" t="str">
        <f t="shared" si="6"/>
        <v>FY26-27 Q3</v>
      </c>
      <c r="J78" s="90">
        <v>2</v>
      </c>
      <c r="K78" s="87">
        <f t="shared" ref="K78:K95" si="7">J78+K77</f>
        <v>4</v>
      </c>
    </row>
    <row r="79" spans="2:11" x14ac:dyDescent="0.2">
      <c r="H79" s="83" t="str">
        <f t="shared" si="5"/>
        <v>FY26-27 Q4</v>
      </c>
      <c r="I79" s="5" t="str">
        <f t="shared" si="6"/>
        <v>FY26-27 Q4</v>
      </c>
      <c r="J79" s="90">
        <v>2</v>
      </c>
      <c r="K79" s="87">
        <f t="shared" si="7"/>
        <v>6</v>
      </c>
    </row>
    <row r="80" spans="2:11" x14ac:dyDescent="0.2">
      <c r="H80" s="83" t="str">
        <f t="shared" si="5"/>
        <v>FY27-28 Q1</v>
      </c>
      <c r="I80" s="5" t="str">
        <f t="shared" si="6"/>
        <v>FY27-28 Q1</v>
      </c>
      <c r="J80" s="90">
        <v>5</v>
      </c>
      <c r="K80" s="87">
        <f t="shared" si="7"/>
        <v>11</v>
      </c>
    </row>
    <row r="81" spans="8:11" x14ac:dyDescent="0.2">
      <c r="H81" s="83" t="str">
        <f t="shared" si="5"/>
        <v>FY27-28 Q2</v>
      </c>
      <c r="I81" s="5" t="str">
        <f t="shared" si="6"/>
        <v>FY27-28 Q2</v>
      </c>
      <c r="J81" s="90">
        <v>5</v>
      </c>
      <c r="K81" s="87">
        <f t="shared" si="7"/>
        <v>16</v>
      </c>
    </row>
    <row r="82" spans="8:11" x14ac:dyDescent="0.2">
      <c r="H82" s="83" t="str">
        <f t="shared" si="5"/>
        <v>FY27-28 Q3</v>
      </c>
      <c r="I82" s="5" t="str">
        <f t="shared" si="6"/>
        <v>FY27-28 Q3</v>
      </c>
      <c r="J82" s="90">
        <v>5</v>
      </c>
      <c r="K82" s="87">
        <f t="shared" si="7"/>
        <v>21</v>
      </c>
    </row>
    <row r="83" spans="8:11" x14ac:dyDescent="0.2">
      <c r="H83" s="83" t="str">
        <f t="shared" si="5"/>
        <v>FY27-28 Q4</v>
      </c>
      <c r="I83" s="5" t="str">
        <f t="shared" si="6"/>
        <v>FY27-28 Q4</v>
      </c>
      <c r="J83" s="90">
        <v>5</v>
      </c>
      <c r="K83" s="87">
        <f t="shared" si="7"/>
        <v>26</v>
      </c>
    </row>
    <row r="84" spans="8:11" x14ac:dyDescent="0.2">
      <c r="H84" s="83" t="str">
        <f t="shared" si="5"/>
        <v>FY28-29 Q1</v>
      </c>
      <c r="I84" s="5" t="str">
        <f t="shared" si="6"/>
        <v>FY28-29 Q1</v>
      </c>
      <c r="J84" s="90">
        <v>5</v>
      </c>
      <c r="K84" s="87">
        <f t="shared" si="7"/>
        <v>31</v>
      </c>
    </row>
    <row r="85" spans="8:11" x14ac:dyDescent="0.2">
      <c r="H85" s="83" t="str">
        <f t="shared" si="5"/>
        <v>FY28-29 Q2</v>
      </c>
      <c r="I85" s="5" t="str">
        <f t="shared" si="6"/>
        <v>FY28-29 Q2</v>
      </c>
      <c r="J85" s="90">
        <v>5</v>
      </c>
      <c r="K85" s="87">
        <f t="shared" si="7"/>
        <v>36</v>
      </c>
    </row>
    <row r="86" spans="8:11" x14ac:dyDescent="0.2">
      <c r="H86" s="83" t="str">
        <f t="shared" si="5"/>
        <v>FY28-29 Q3</v>
      </c>
      <c r="I86" s="5" t="str">
        <f t="shared" si="6"/>
        <v>FY28-29 Q3</v>
      </c>
      <c r="J86" s="90">
        <v>5</v>
      </c>
      <c r="K86" s="87">
        <f t="shared" si="7"/>
        <v>41</v>
      </c>
    </row>
    <row r="87" spans="8:11" x14ac:dyDescent="0.2">
      <c r="H87" s="83" t="str">
        <f t="shared" si="5"/>
        <v>FY28-29 Q4</v>
      </c>
      <c r="I87" s="5" t="str">
        <f t="shared" si="6"/>
        <v>FY28-29 Q4</v>
      </c>
      <c r="J87" s="90">
        <v>5</v>
      </c>
      <c r="K87" s="110">
        <f t="shared" si="7"/>
        <v>46</v>
      </c>
    </row>
    <row r="88" spans="8:11" x14ac:dyDescent="0.2">
      <c r="H88" s="83" t="str">
        <f t="shared" si="5"/>
        <v>FY29-30 Q1</v>
      </c>
      <c r="I88" s="5" t="str">
        <f t="shared" si="6"/>
        <v>FY29-30 Q1</v>
      </c>
      <c r="J88" s="90">
        <v>10</v>
      </c>
      <c r="K88" s="87">
        <f t="shared" si="7"/>
        <v>56</v>
      </c>
    </row>
    <row r="89" spans="8:11" x14ac:dyDescent="0.2">
      <c r="H89" s="83" t="str">
        <f t="shared" si="5"/>
        <v>FY29-30 Q2</v>
      </c>
      <c r="I89" s="5" t="str">
        <f t="shared" si="6"/>
        <v>FY29-30 Q2</v>
      </c>
      <c r="J89" s="90">
        <v>10</v>
      </c>
      <c r="K89" s="87">
        <f t="shared" si="7"/>
        <v>66</v>
      </c>
    </row>
    <row r="90" spans="8:11" x14ac:dyDescent="0.2">
      <c r="H90" s="83" t="str">
        <f t="shared" si="5"/>
        <v>FY29-30 Q3</v>
      </c>
      <c r="I90" s="5" t="str">
        <f t="shared" si="6"/>
        <v>FY29-30 Q3</v>
      </c>
      <c r="J90" s="90">
        <v>10</v>
      </c>
      <c r="K90" s="87">
        <f t="shared" si="7"/>
        <v>76</v>
      </c>
    </row>
    <row r="91" spans="8:11" x14ac:dyDescent="0.2">
      <c r="H91" s="83" t="str">
        <f t="shared" si="5"/>
        <v>FY29-30 Q4</v>
      </c>
      <c r="I91" s="5" t="str">
        <f t="shared" si="6"/>
        <v>FY29-30 Q4</v>
      </c>
      <c r="J91" s="90">
        <v>10</v>
      </c>
      <c r="K91" s="87">
        <f t="shared" si="7"/>
        <v>86</v>
      </c>
    </row>
    <row r="92" spans="8:11" x14ac:dyDescent="0.2">
      <c r="H92" s="83" t="str">
        <f t="shared" si="5"/>
        <v>FY30-31 Q1</v>
      </c>
      <c r="I92" s="5" t="str">
        <f t="shared" si="6"/>
        <v>FY30-31 Q1</v>
      </c>
      <c r="J92" s="90">
        <v>10</v>
      </c>
      <c r="K92" s="87">
        <f t="shared" si="7"/>
        <v>96</v>
      </c>
    </row>
    <row r="93" spans="8:11" x14ac:dyDescent="0.2">
      <c r="H93" s="83" t="str">
        <f t="shared" si="5"/>
        <v>FY30-31 Q2</v>
      </c>
      <c r="I93" s="5" t="str">
        <f t="shared" si="6"/>
        <v>FY30-31 Q2</v>
      </c>
      <c r="J93" s="90">
        <v>10</v>
      </c>
      <c r="K93" s="87">
        <f t="shared" si="7"/>
        <v>106</v>
      </c>
    </row>
    <row r="94" spans="8:11" x14ac:dyDescent="0.2">
      <c r="H94" s="83" t="str">
        <f t="shared" si="5"/>
        <v>FY30-31 Q3</v>
      </c>
      <c r="I94" s="5" t="str">
        <f t="shared" si="6"/>
        <v>FY30-31 Q3</v>
      </c>
      <c r="J94" s="90">
        <v>10</v>
      </c>
      <c r="K94" s="87">
        <f t="shared" si="7"/>
        <v>116</v>
      </c>
    </row>
    <row r="95" spans="8:11" x14ac:dyDescent="0.2">
      <c r="H95" s="83" t="str">
        <f t="shared" si="5"/>
        <v>FY30-31 Q4</v>
      </c>
      <c r="I95" s="5" t="str">
        <f>H95</f>
        <v>FY30-31 Q4</v>
      </c>
      <c r="J95" s="90">
        <v>10</v>
      </c>
      <c r="K95" s="87">
        <f t="shared" si="7"/>
        <v>126</v>
      </c>
    </row>
    <row r="96" spans="8:11" x14ac:dyDescent="0.2">
      <c r="H96" s="84"/>
      <c r="I96" s="89" t="s">
        <v>30</v>
      </c>
      <c r="J96" s="89">
        <f>SUM(J76:J95)</f>
        <v>126</v>
      </c>
      <c r="K96" s="88"/>
    </row>
  </sheetData>
  <phoneticPr fontId="18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90C74-A60C-4628-B078-51848EA8510C}">
  <sheetPr>
    <tabColor rgb="FF00B050"/>
  </sheetPr>
  <dimension ref="B1:AJ77"/>
  <sheetViews>
    <sheetView showGridLines="0" zoomScale="85" zoomScaleNormal="85" workbookViewId="0">
      <pane xSplit="2" ySplit="6" topLeftCell="C7" activePane="bottomRight" state="frozen"/>
      <selection activeCell="V52" sqref="V52"/>
      <selection pane="topRight" activeCell="V52" sqref="V52"/>
      <selection pane="bottomLeft" activeCell="V52" sqref="V52"/>
      <selection pane="bottomRight" activeCell="E54" sqref="E54"/>
    </sheetView>
  </sheetViews>
  <sheetFormatPr baseColWidth="10" defaultColWidth="3.1640625" defaultRowHeight="15" x14ac:dyDescent="0.2"/>
  <cols>
    <col min="1" max="1" width="6.5" style="5" customWidth="1"/>
    <col min="2" max="2" width="48.1640625" style="5" bestFit="1" customWidth="1"/>
    <col min="3" max="6" width="10.83203125" style="5" bestFit="1" customWidth="1"/>
    <col min="7" max="7" width="3.1640625" style="5"/>
    <col min="8" max="8" width="10.5" style="5" bestFit="1" customWidth="1"/>
    <col min="9" max="9" width="3.1640625" style="5"/>
    <col min="10" max="13" width="10.83203125" style="5" bestFit="1" customWidth="1"/>
    <col min="14" max="14" width="3.1640625" style="5"/>
    <col min="15" max="15" width="11.5" style="5" bestFit="1" customWidth="1"/>
    <col min="16" max="16" width="3.1640625" style="5"/>
    <col min="17" max="20" width="10.83203125" style="5" bestFit="1" customWidth="1"/>
    <col min="21" max="21" width="3.1640625" style="5"/>
    <col min="22" max="22" width="11.5" style="5" bestFit="1" customWidth="1"/>
    <col min="23" max="23" width="3.1640625" style="5"/>
    <col min="24" max="26" width="10.83203125" style="5" bestFit="1" customWidth="1"/>
    <col min="27" max="27" width="11.5" style="5" bestFit="1" customWidth="1"/>
    <col min="28" max="28" width="3.1640625" style="5"/>
    <col min="29" max="29" width="11.5" style="5" bestFit="1" customWidth="1"/>
    <col min="30" max="30" width="3.1640625" style="5"/>
    <col min="31" max="34" width="11.5" style="5" bestFit="1" customWidth="1"/>
    <col min="35" max="35" width="3.1640625" style="5"/>
    <col min="36" max="36" width="11.5" style="5" bestFit="1" customWidth="1"/>
    <col min="37" max="48" width="3.1640625" style="5"/>
    <col min="49" max="49" width="3.1640625" style="5" customWidth="1"/>
    <col min="50" max="16384" width="3.1640625" style="5"/>
  </cols>
  <sheetData>
    <row r="1" spans="2:36" ht="20" x14ac:dyDescent="0.25">
      <c r="B1" s="34" t="s">
        <v>91</v>
      </c>
    </row>
    <row r="2" spans="2:36" x14ac:dyDescent="0.2">
      <c r="B2" s="8" t="str">
        <f>'Assumption Sheet'!B2</f>
        <v>Updated on 01 Feb 2026</v>
      </c>
    </row>
    <row r="6" spans="2:36" x14ac:dyDescent="0.2">
      <c r="B6" s="20" t="s">
        <v>0</v>
      </c>
      <c r="C6" s="4" t="s">
        <v>12</v>
      </c>
      <c r="D6" s="4" t="s">
        <v>13</v>
      </c>
      <c r="E6" s="4" t="s">
        <v>14</v>
      </c>
      <c r="F6" s="4" t="s">
        <v>15</v>
      </c>
      <c r="G6" s="1"/>
      <c r="H6" s="2" t="s">
        <v>8</v>
      </c>
      <c r="I6" s="1"/>
      <c r="J6" s="4" t="s">
        <v>16</v>
      </c>
      <c r="K6" s="4" t="s">
        <v>17</v>
      </c>
      <c r="L6" s="4" t="s">
        <v>18</v>
      </c>
      <c r="M6" s="4" t="s">
        <v>19</v>
      </c>
      <c r="N6" s="1"/>
      <c r="O6" s="2" t="s">
        <v>9</v>
      </c>
      <c r="P6" s="1"/>
      <c r="Q6" s="4" t="s">
        <v>20</v>
      </c>
      <c r="R6" s="4" t="s">
        <v>21</v>
      </c>
      <c r="S6" s="4" t="s">
        <v>22</v>
      </c>
      <c r="T6" s="4" t="s">
        <v>23</v>
      </c>
      <c r="U6" s="1"/>
      <c r="V6" s="2" t="s">
        <v>10</v>
      </c>
      <c r="W6" s="1"/>
      <c r="X6" s="4" t="s">
        <v>24</v>
      </c>
      <c r="Y6" s="4" t="s">
        <v>25</v>
      </c>
      <c r="Z6" s="4" t="s">
        <v>26</v>
      </c>
      <c r="AA6" s="4" t="s">
        <v>27</v>
      </c>
      <c r="AB6" s="35"/>
      <c r="AC6" s="2" t="s">
        <v>11</v>
      </c>
      <c r="AD6" s="1"/>
      <c r="AE6" s="4" t="s">
        <v>180</v>
      </c>
      <c r="AF6" s="4" t="s">
        <v>181</v>
      </c>
      <c r="AG6" s="4" t="s">
        <v>182</v>
      </c>
      <c r="AH6" s="4" t="s">
        <v>183</v>
      </c>
      <c r="AI6" s="1"/>
      <c r="AJ6" s="2" t="s">
        <v>184</v>
      </c>
    </row>
    <row r="7" spans="2:36" x14ac:dyDescent="0.2">
      <c r="B7" s="6" t="s">
        <v>49</v>
      </c>
    </row>
    <row r="8" spans="2:36" x14ac:dyDescent="0.2">
      <c r="B8" s="5" t="s">
        <v>33</v>
      </c>
      <c r="C8" s="5">
        <v>0</v>
      </c>
      <c r="D8" s="5">
        <f>VLOOKUP(D6,'Assumption Sheet'!$I$23:$K$42,2,0)</f>
        <v>0</v>
      </c>
      <c r="E8" s="5">
        <f>VLOOKUP(E6,'Assumption Sheet'!$I$23:$K$42,2,0)</f>
        <v>0</v>
      </c>
      <c r="F8" s="5">
        <f>VLOOKUP(F6,'Assumption Sheet'!$I$23:$K$42,2,0)</f>
        <v>0</v>
      </c>
      <c r="H8" s="5">
        <f>SUM(C8:F8)</f>
        <v>0</v>
      </c>
      <c r="J8" s="5">
        <f>VLOOKUP(J6,'Assumption Sheet'!$I$23:$K$42,2,0)</f>
        <v>5</v>
      </c>
      <c r="K8" s="5">
        <f>VLOOKUP(K6,'Assumption Sheet'!$I$23:$K$42,2,0)</f>
        <v>5</v>
      </c>
      <c r="L8" s="5">
        <f>VLOOKUP(L6,'Assumption Sheet'!$I$23:$K$42,2,0)</f>
        <v>5</v>
      </c>
      <c r="M8" s="5">
        <f>VLOOKUP(M6,'Assumption Sheet'!$I$23:$K$42,2,0)</f>
        <v>10</v>
      </c>
      <c r="O8" s="5">
        <f>SUM(J8:M8)</f>
        <v>25</v>
      </c>
      <c r="Q8" s="5">
        <f>VLOOKUP(Q6,'Assumption Sheet'!$I$23:$K$42,2,0)</f>
        <v>10</v>
      </c>
      <c r="R8" s="5">
        <f>VLOOKUP(R6,'Assumption Sheet'!$I$23:$K$42,2,0)</f>
        <v>10</v>
      </c>
      <c r="S8" s="5">
        <f>VLOOKUP(S6,'Assumption Sheet'!$I$23:$K$42,2,0)</f>
        <v>15</v>
      </c>
      <c r="T8" s="5">
        <f>VLOOKUP(T6,'Assumption Sheet'!$I$23:$K$42,2,0)</f>
        <v>15</v>
      </c>
      <c r="V8" s="5">
        <f>SUM(Q8:T8)</f>
        <v>50</v>
      </c>
      <c r="X8" s="5">
        <f>VLOOKUP(X6,'Assumption Sheet'!$I$23:$K$42,2,0)</f>
        <v>15</v>
      </c>
      <c r="Y8" s="5">
        <f>VLOOKUP(Y6,'Assumption Sheet'!$I$23:$K$42,2,0)</f>
        <v>20</v>
      </c>
      <c r="Z8" s="5">
        <f>VLOOKUP(Z6,'Assumption Sheet'!$I$23:$K$42,2,0)</f>
        <v>20</v>
      </c>
      <c r="AA8" s="5">
        <f>VLOOKUP(AA6,'Assumption Sheet'!$I$23:$K$42,2,0)</f>
        <v>25</v>
      </c>
      <c r="AC8" s="5">
        <f>SUM(X8:AA8)</f>
        <v>80</v>
      </c>
      <c r="AE8" s="5">
        <f>VLOOKUP(AE6,'Assumption Sheet'!$I$23:$K$42,2,0)</f>
        <v>25</v>
      </c>
      <c r="AF8" s="5">
        <f>VLOOKUP(AF6,'Assumption Sheet'!$I$23:$K$42,2,0)</f>
        <v>25</v>
      </c>
      <c r="AG8" s="5">
        <f>VLOOKUP(AG6,'Assumption Sheet'!$I$23:$K$42,2,0)</f>
        <v>25</v>
      </c>
      <c r="AH8" s="5">
        <f>VLOOKUP(AH6,'Assumption Sheet'!$I$23:$K$42,2,0)</f>
        <v>25</v>
      </c>
      <c r="AJ8" s="5">
        <f>SUM(AE8:AH8)</f>
        <v>100</v>
      </c>
    </row>
    <row r="9" spans="2:36" x14ac:dyDescent="0.2">
      <c r="B9" s="5" t="s">
        <v>34</v>
      </c>
      <c r="C9" s="5">
        <v>0</v>
      </c>
      <c r="D9" s="5">
        <f>VLOOKUP(D6,'Assumption Sheet'!$I$23:$K$42,3,0)</f>
        <v>0</v>
      </c>
      <c r="E9" s="5">
        <f>VLOOKUP(E6,'Assumption Sheet'!$I$23:$K$42,3,0)</f>
        <v>0</v>
      </c>
      <c r="F9" s="5">
        <f>VLOOKUP(F6,'Assumption Sheet'!$I$23:$K$42,3,0)</f>
        <v>0</v>
      </c>
      <c r="H9" s="5">
        <f>F9</f>
        <v>0</v>
      </c>
      <c r="J9" s="5">
        <f>VLOOKUP(J6,'Assumption Sheet'!$I$23:$K$42,3,0)</f>
        <v>5</v>
      </c>
      <c r="K9" s="5">
        <f>VLOOKUP(K6,'Assumption Sheet'!$I$23:$K$42,3,0)</f>
        <v>10</v>
      </c>
      <c r="L9" s="5">
        <f>VLOOKUP(L6,'Assumption Sheet'!$I$23:$K$42,3,0)</f>
        <v>15</v>
      </c>
      <c r="M9" s="5">
        <f>VLOOKUP(M6,'Assumption Sheet'!$I$23:$K$42,3,0)</f>
        <v>25</v>
      </c>
      <c r="O9" s="5">
        <f>M9</f>
        <v>25</v>
      </c>
      <c r="Q9" s="5">
        <f>VLOOKUP(Q6,'Assumption Sheet'!$I$23:$K$42,3,0)</f>
        <v>35</v>
      </c>
      <c r="R9" s="5">
        <f>VLOOKUP(R6,'Assumption Sheet'!$I$23:$K$42,3,0)</f>
        <v>45</v>
      </c>
      <c r="S9" s="5">
        <f>VLOOKUP(S6,'Assumption Sheet'!$I$23:$K$42,3,0)</f>
        <v>60</v>
      </c>
      <c r="T9" s="5">
        <f>VLOOKUP(T6,'Assumption Sheet'!$I$23:$K$42,3,0)</f>
        <v>75</v>
      </c>
      <c r="V9" s="5">
        <f>T9</f>
        <v>75</v>
      </c>
      <c r="X9" s="5">
        <f>VLOOKUP(X6,'Assumption Sheet'!$I$23:$K$42,3,0)</f>
        <v>90</v>
      </c>
      <c r="Y9" s="5">
        <f>VLOOKUP(Y6,'Assumption Sheet'!$I$23:$K$42,3,0)</f>
        <v>110</v>
      </c>
      <c r="Z9" s="5">
        <f>VLOOKUP(Z6,'Assumption Sheet'!$I$23:$K$42,3,0)</f>
        <v>130</v>
      </c>
      <c r="AA9" s="5">
        <f>VLOOKUP(AA6,'Assumption Sheet'!$I$23:$K$42,3,0)</f>
        <v>155</v>
      </c>
      <c r="AC9" s="5">
        <f>AA9</f>
        <v>155</v>
      </c>
      <c r="AE9" s="5">
        <f>VLOOKUP(AE6,'Assumption Sheet'!$I$23:$K$42,3,0)</f>
        <v>180</v>
      </c>
      <c r="AF9" s="5">
        <f>VLOOKUP(AF6,'Assumption Sheet'!$I$23:$K$42,3,0)</f>
        <v>205</v>
      </c>
      <c r="AG9" s="5">
        <f>VLOOKUP(AG6,'Assumption Sheet'!$I$23:$K$42,3,0)</f>
        <v>230</v>
      </c>
      <c r="AH9" s="5">
        <f>VLOOKUP(AH6,'Assumption Sheet'!$I$23:$K$42,3,0)</f>
        <v>255</v>
      </c>
      <c r="AJ9" s="5">
        <f>AH9</f>
        <v>255</v>
      </c>
    </row>
    <row r="11" spans="2:36" x14ac:dyDescent="0.2">
      <c r="B11" s="5" t="s">
        <v>44</v>
      </c>
      <c r="C11" s="5">
        <v>0</v>
      </c>
      <c r="D11" s="5">
        <f>VLOOKUP(D6,'Assumption Sheet'!$I$51:$K$70,2,0)</f>
        <v>0</v>
      </c>
      <c r="E11" s="5">
        <f>VLOOKUP(E6,'Assumption Sheet'!$I$51:$K$70,2,0)</f>
        <v>0</v>
      </c>
      <c r="F11" s="5">
        <f>VLOOKUP(F6,'Assumption Sheet'!$I$51:$K$70,2,0)</f>
        <v>0</v>
      </c>
      <c r="H11" s="5">
        <f>SUM(C11:F11)</f>
        <v>0</v>
      </c>
      <c r="J11" s="5">
        <f>VLOOKUP(J6,'Assumption Sheet'!$I$51:$K$70,2,0)</f>
        <v>0</v>
      </c>
      <c r="K11" s="5">
        <f>VLOOKUP(K6,'Assumption Sheet'!$I$51:$K$70,2,0)</f>
        <v>10</v>
      </c>
      <c r="L11" s="5">
        <f>VLOOKUP(L6,'Assumption Sheet'!$I$51:$K$70,2,0)</f>
        <v>30</v>
      </c>
      <c r="M11" s="5">
        <f>VLOOKUP(M6,'Assumption Sheet'!$I$51:$K$70,2,0)</f>
        <v>30</v>
      </c>
      <c r="O11" s="5">
        <f>SUM(J11:M11)</f>
        <v>70</v>
      </c>
      <c r="Q11" s="5">
        <f>VLOOKUP(Q6,'Assumption Sheet'!$I$51:$K$70,2,0)</f>
        <v>50</v>
      </c>
      <c r="R11" s="5">
        <f>VLOOKUP(R6,'Assumption Sheet'!$I$51:$K$70,2,0)</f>
        <v>50</v>
      </c>
      <c r="S11" s="5">
        <f>VLOOKUP(S6,'Assumption Sheet'!$I$51:$K$70,2,0)</f>
        <v>50</v>
      </c>
      <c r="T11" s="5">
        <f>VLOOKUP(T6,'Assumption Sheet'!$I$51:$K$70,2,0)</f>
        <v>50</v>
      </c>
      <c r="V11" s="5">
        <f>SUM(Q11:T11)</f>
        <v>200</v>
      </c>
      <c r="X11" s="5">
        <f>VLOOKUP(X6,'Assumption Sheet'!$I$51:$K$70,2,0)</f>
        <v>50</v>
      </c>
      <c r="Y11" s="5">
        <f>VLOOKUP(Y6,'Assumption Sheet'!$I$51:$K$70,2,0)</f>
        <v>100</v>
      </c>
      <c r="Z11" s="5">
        <f>VLOOKUP(Z6,'Assumption Sheet'!$I$51:$K$70,2,0)</f>
        <v>100</v>
      </c>
      <c r="AA11" s="5">
        <f>VLOOKUP(AA6,'Assumption Sheet'!$I$51:$K$70,2,0)</f>
        <v>100</v>
      </c>
      <c r="AC11" s="5">
        <f>SUM(X11:AA11)</f>
        <v>350</v>
      </c>
      <c r="AE11" s="5">
        <f>VLOOKUP(AE6,'Assumption Sheet'!$I$51:$K$70,2,0)</f>
        <v>100</v>
      </c>
      <c r="AF11" s="5">
        <f>VLOOKUP(AF6,'Assumption Sheet'!$I$51:$K$70,2,0)</f>
        <v>100</v>
      </c>
      <c r="AG11" s="5">
        <f>VLOOKUP(AG6,'Assumption Sheet'!$I$51:$K$70,2,0)</f>
        <v>100</v>
      </c>
      <c r="AH11" s="5">
        <f>VLOOKUP(AH6,'Assumption Sheet'!$I$51:$K$70,2,0)</f>
        <v>100</v>
      </c>
      <c r="AJ11" s="5">
        <f>SUM(AE11:AH11)</f>
        <v>400</v>
      </c>
    </row>
    <row r="13" spans="2:36" x14ac:dyDescent="0.2">
      <c r="B13" s="5" t="s">
        <v>45</v>
      </c>
      <c r="C13" s="5">
        <f>VLOOKUP(C6,'Assumption Sheet'!$I$76:$K$95,2,0)</f>
        <v>1</v>
      </c>
      <c r="D13" s="5">
        <f>VLOOKUP(D6,'Assumption Sheet'!$I$76:$K$95,2,0)</f>
        <v>1</v>
      </c>
      <c r="E13" s="5">
        <f>VLOOKUP(E6,'Assumption Sheet'!$I$76:$K$95,2,0)</f>
        <v>2</v>
      </c>
      <c r="F13" s="5">
        <f>VLOOKUP(F6,'Assumption Sheet'!$I$76:$K$95,2,0)</f>
        <v>2</v>
      </c>
      <c r="H13" s="5">
        <f>SUM(C13:F13)</f>
        <v>6</v>
      </c>
      <c r="J13" s="5">
        <f>VLOOKUP(J6,'Assumption Sheet'!$I$76:$K$95,2,0)</f>
        <v>5</v>
      </c>
      <c r="K13" s="5">
        <f>VLOOKUP(K6,'Assumption Sheet'!$I$76:$K$95,2,0)</f>
        <v>5</v>
      </c>
      <c r="L13" s="5">
        <f>VLOOKUP(L6,'Assumption Sheet'!$I$76:$K$95,2,0)</f>
        <v>5</v>
      </c>
      <c r="M13" s="5">
        <f>VLOOKUP(M6,'Assumption Sheet'!$I$76:$K$95,2,0)</f>
        <v>5</v>
      </c>
      <c r="O13" s="5">
        <f>SUM(J13:M13)</f>
        <v>20</v>
      </c>
      <c r="Q13" s="5">
        <f>VLOOKUP(Q6,'Assumption Sheet'!$I$76:$K$95,2,0)</f>
        <v>5</v>
      </c>
      <c r="R13" s="5">
        <f>VLOOKUP(R6,'Assumption Sheet'!$I$76:$K$95,2,0)</f>
        <v>5</v>
      </c>
      <c r="S13" s="5">
        <f>VLOOKUP(S6,'Assumption Sheet'!$I$76:$K$95,2,0)</f>
        <v>5</v>
      </c>
      <c r="T13" s="5">
        <f>VLOOKUP(T6,'Assumption Sheet'!$I$76:$K$95,2,0)</f>
        <v>5</v>
      </c>
      <c r="V13" s="5">
        <f>SUM(Q13:T13)</f>
        <v>20</v>
      </c>
      <c r="X13" s="5">
        <f>VLOOKUP(X6,'Assumption Sheet'!$I$76:$K$95,2,0)</f>
        <v>10</v>
      </c>
      <c r="Y13" s="5">
        <f>VLOOKUP(Y6,'Assumption Sheet'!$I$76:$K$95,2,0)</f>
        <v>10</v>
      </c>
      <c r="Z13" s="5">
        <f>VLOOKUP(Z6,'Assumption Sheet'!$I$76:$K$95,2,0)</f>
        <v>10</v>
      </c>
      <c r="AA13" s="5">
        <f>VLOOKUP(AA6,'Assumption Sheet'!$I$76:$K$95,2,0)</f>
        <v>10</v>
      </c>
      <c r="AC13" s="5">
        <f>SUM(X13:AA13)</f>
        <v>40</v>
      </c>
      <c r="AE13" s="5">
        <f>VLOOKUP(AE6,'Assumption Sheet'!$I$76:$K$95,2,0)</f>
        <v>10</v>
      </c>
      <c r="AF13" s="5">
        <f>VLOOKUP(AF6,'Assumption Sheet'!$I$76:$K$95,2,0)</f>
        <v>10</v>
      </c>
      <c r="AG13" s="5">
        <f>VLOOKUP(AG6,'Assumption Sheet'!$I$76:$K$95,2,0)</f>
        <v>10</v>
      </c>
      <c r="AH13" s="5">
        <f>VLOOKUP(AH6,'Assumption Sheet'!$I$76:$K$95,2,0)</f>
        <v>10</v>
      </c>
      <c r="AJ13" s="5">
        <f>SUM(AE13:AH13)</f>
        <v>40</v>
      </c>
    </row>
    <row r="14" spans="2:36" ht="16" thickBot="1" x14ac:dyDescent="0.25"/>
    <row r="15" spans="2:36" ht="16" thickBot="1" x14ac:dyDescent="0.25">
      <c r="B15" s="10" t="s">
        <v>50</v>
      </c>
      <c r="C15" s="15">
        <f>C8+C11+C13</f>
        <v>1</v>
      </c>
      <c r="D15" s="15">
        <f t="shared" ref="D15:H15" si="0">D8+D11+D13</f>
        <v>1</v>
      </c>
      <c r="E15" s="15">
        <f t="shared" si="0"/>
        <v>2</v>
      </c>
      <c r="F15" s="16">
        <f t="shared" si="0"/>
        <v>2</v>
      </c>
      <c r="G15" s="17"/>
      <c r="H15" s="18">
        <f t="shared" si="0"/>
        <v>6</v>
      </c>
      <c r="I15" s="17"/>
      <c r="J15" s="19">
        <f>J8+J11+J13</f>
        <v>10</v>
      </c>
      <c r="K15" s="15">
        <f t="shared" ref="K15:O15" si="1">K8+K11+K13</f>
        <v>20</v>
      </c>
      <c r="L15" s="15">
        <f t="shared" si="1"/>
        <v>40</v>
      </c>
      <c r="M15" s="16">
        <f t="shared" si="1"/>
        <v>45</v>
      </c>
      <c r="N15" s="17"/>
      <c r="O15" s="18">
        <f t="shared" si="1"/>
        <v>115</v>
      </c>
      <c r="P15" s="17"/>
      <c r="Q15" s="19">
        <f>Q8+Q11+Q13</f>
        <v>65</v>
      </c>
      <c r="R15" s="15">
        <f t="shared" ref="R15:V15" si="2">R8+R11+R13</f>
        <v>65</v>
      </c>
      <c r="S15" s="15">
        <f t="shared" si="2"/>
        <v>70</v>
      </c>
      <c r="T15" s="16">
        <f t="shared" si="2"/>
        <v>70</v>
      </c>
      <c r="U15" s="17"/>
      <c r="V15" s="18">
        <f t="shared" si="2"/>
        <v>270</v>
      </c>
      <c r="W15" s="17"/>
      <c r="X15" s="19">
        <f>X8+X11+X13</f>
        <v>75</v>
      </c>
      <c r="Y15" s="15">
        <f t="shared" ref="Y15:AC15" si="3">Y8+Y11+Y13</f>
        <v>130</v>
      </c>
      <c r="Z15" s="15">
        <f t="shared" si="3"/>
        <v>130</v>
      </c>
      <c r="AA15" s="16">
        <f t="shared" si="3"/>
        <v>135</v>
      </c>
      <c r="AB15" s="17"/>
      <c r="AC15" s="18">
        <f t="shared" si="3"/>
        <v>470</v>
      </c>
      <c r="AD15" s="17"/>
      <c r="AE15" s="19">
        <f>AE8+AE11+AE13</f>
        <v>135</v>
      </c>
      <c r="AF15" s="15">
        <f t="shared" ref="AF15:AJ15" si="4">AF8+AF11+AF13</f>
        <v>135</v>
      </c>
      <c r="AG15" s="15">
        <f t="shared" si="4"/>
        <v>135</v>
      </c>
      <c r="AH15" s="16">
        <f t="shared" si="4"/>
        <v>135</v>
      </c>
      <c r="AI15" s="17"/>
      <c r="AJ15" s="18">
        <f t="shared" si="4"/>
        <v>540</v>
      </c>
    </row>
    <row r="17" spans="2:36" x14ac:dyDescent="0.2">
      <c r="B17" s="21" t="s">
        <v>51</v>
      </c>
    </row>
    <row r="18" spans="2:36" x14ac:dyDescent="0.2">
      <c r="B18" s="6" t="s">
        <v>36</v>
      </c>
    </row>
    <row r="19" spans="2:36" x14ac:dyDescent="0.2">
      <c r="B19" s="5" t="s">
        <v>37</v>
      </c>
      <c r="C19" s="7">
        <f>'Assumption Sheet'!$D$23</f>
        <v>20000</v>
      </c>
      <c r="D19" s="7">
        <f>'Assumption Sheet'!$D$23</f>
        <v>20000</v>
      </c>
      <c r="E19" s="7">
        <f>'Assumption Sheet'!$D$23</f>
        <v>20000</v>
      </c>
      <c r="F19" s="7">
        <f>'Assumption Sheet'!$D$23</f>
        <v>20000</v>
      </c>
      <c r="H19" s="7">
        <f>F19</f>
        <v>20000</v>
      </c>
      <c r="J19" s="7">
        <f>F19*(1+'Assumption Sheet'!$D$24)</f>
        <v>21000</v>
      </c>
      <c r="K19" s="7">
        <f>J19</f>
        <v>21000</v>
      </c>
      <c r="L19" s="7">
        <f t="shared" ref="L19:M19" si="5">K19</f>
        <v>21000</v>
      </c>
      <c r="M19" s="7">
        <f t="shared" si="5"/>
        <v>21000</v>
      </c>
      <c r="O19" s="7">
        <f>M19</f>
        <v>21000</v>
      </c>
      <c r="Q19" s="7">
        <f>M19*(1+'Assumption Sheet'!$D$24)</f>
        <v>22050</v>
      </c>
      <c r="R19" s="7">
        <f>Q19</f>
        <v>22050</v>
      </c>
      <c r="S19" s="7">
        <f t="shared" ref="S19:T19" si="6">R19</f>
        <v>22050</v>
      </c>
      <c r="T19" s="7">
        <f t="shared" si="6"/>
        <v>22050</v>
      </c>
      <c r="V19" s="7">
        <f>T19</f>
        <v>22050</v>
      </c>
      <c r="X19" s="7">
        <f>T19*(1+'Assumption Sheet'!$D$24)</f>
        <v>23152.5</v>
      </c>
      <c r="Y19" s="7">
        <f>X19</f>
        <v>23152.5</v>
      </c>
      <c r="Z19" s="7">
        <f t="shared" ref="Z19:AA19" si="7">Y19</f>
        <v>23152.5</v>
      </c>
      <c r="AA19" s="7">
        <f t="shared" si="7"/>
        <v>23152.5</v>
      </c>
      <c r="AC19" s="7">
        <f>AA19</f>
        <v>23152.5</v>
      </c>
      <c r="AE19" s="7">
        <f>AA19*(1+'Assumption Sheet'!$D$24)</f>
        <v>24310.125</v>
      </c>
      <c r="AF19" s="7">
        <f>AE19</f>
        <v>24310.125</v>
      </c>
      <c r="AG19" s="7">
        <f t="shared" ref="AG19:AH19" si="8">AF19</f>
        <v>24310.125</v>
      </c>
      <c r="AH19" s="7">
        <f t="shared" si="8"/>
        <v>24310.125</v>
      </c>
      <c r="AJ19" s="7">
        <f>AH19</f>
        <v>24310.125</v>
      </c>
    </row>
    <row r="20" spans="2:36" x14ac:dyDescent="0.2">
      <c r="B20" s="8" t="s">
        <v>38</v>
      </c>
      <c r="C20" s="9">
        <f>C19*C9</f>
        <v>0</v>
      </c>
      <c r="D20" s="9">
        <f t="shared" ref="D20:F20" si="9">D19*D9</f>
        <v>0</v>
      </c>
      <c r="E20" s="9">
        <f t="shared" si="9"/>
        <v>0</v>
      </c>
      <c r="F20" s="9">
        <f t="shared" si="9"/>
        <v>0</v>
      </c>
      <c r="G20" s="8"/>
      <c r="H20" s="9">
        <f>SUM(C20:F20)</f>
        <v>0</v>
      </c>
      <c r="I20" s="8"/>
      <c r="J20" s="9">
        <f>J19*J9</f>
        <v>105000</v>
      </c>
      <c r="K20" s="9">
        <f t="shared" ref="K20" si="10">K19*K9</f>
        <v>210000</v>
      </c>
      <c r="L20" s="9">
        <f t="shared" ref="L20" si="11">L19*L9</f>
        <v>315000</v>
      </c>
      <c r="M20" s="9">
        <f t="shared" ref="M20" si="12">M19*M9</f>
        <v>525000</v>
      </c>
      <c r="N20" s="8"/>
      <c r="O20" s="9">
        <f>SUM(J20:M20)</f>
        <v>1155000</v>
      </c>
      <c r="P20" s="8"/>
      <c r="Q20" s="9">
        <f>Q19*Q9</f>
        <v>771750</v>
      </c>
      <c r="R20" s="9">
        <f t="shared" ref="R20" si="13">R19*R9</f>
        <v>992250</v>
      </c>
      <c r="S20" s="9">
        <f t="shared" ref="S20" si="14">S19*S9</f>
        <v>1323000</v>
      </c>
      <c r="T20" s="9">
        <f t="shared" ref="T20" si="15">T19*T9</f>
        <v>1653750</v>
      </c>
      <c r="U20" s="8"/>
      <c r="V20" s="9">
        <f>SUM(Q20:T20)</f>
        <v>4740750</v>
      </c>
      <c r="W20" s="8"/>
      <c r="X20" s="9">
        <f>X19*X9</f>
        <v>2083725</v>
      </c>
      <c r="Y20" s="9">
        <f t="shared" ref="Y20" si="16">Y19*Y9</f>
        <v>2546775</v>
      </c>
      <c r="Z20" s="9">
        <f t="shared" ref="Z20" si="17">Z19*Z9</f>
        <v>3009825</v>
      </c>
      <c r="AA20" s="9">
        <f t="shared" ref="AA20" si="18">AA19*AA9</f>
        <v>3588637.5</v>
      </c>
      <c r="AB20" s="8"/>
      <c r="AC20" s="9">
        <f>SUM(X20:AA20)</f>
        <v>11228962.5</v>
      </c>
      <c r="AD20" s="8"/>
      <c r="AE20" s="9">
        <f>AE19*AE9</f>
        <v>4375822.5</v>
      </c>
      <c r="AF20" s="9">
        <f t="shared" ref="AF20" si="19">AF19*AF9</f>
        <v>4983575.625</v>
      </c>
      <c r="AG20" s="9">
        <f t="shared" ref="AG20" si="20">AG19*AG9</f>
        <v>5591328.75</v>
      </c>
      <c r="AH20" s="9">
        <f t="shared" ref="AH20" si="21">AH19*AH9</f>
        <v>6199081.875</v>
      </c>
      <c r="AI20" s="8"/>
      <c r="AJ20" s="9">
        <f>SUM(AE20:AH20)</f>
        <v>21149808.75</v>
      </c>
    </row>
    <row r="22" spans="2:36" x14ac:dyDescent="0.2">
      <c r="B22" s="6" t="s">
        <v>7</v>
      </c>
    </row>
    <row r="23" spans="2:36" x14ac:dyDescent="0.2">
      <c r="B23" s="5" t="s">
        <v>42</v>
      </c>
      <c r="C23" s="7">
        <f>'Assumption Sheet'!$D$51</f>
        <v>35000</v>
      </c>
      <c r="D23" s="7">
        <f>'Assumption Sheet'!$D$51</f>
        <v>35000</v>
      </c>
      <c r="E23" s="7">
        <f>'Assumption Sheet'!$D$51</f>
        <v>35000</v>
      </c>
      <c r="F23" s="7">
        <f>'Assumption Sheet'!$D$51</f>
        <v>35000</v>
      </c>
      <c r="H23" s="7">
        <f>F23</f>
        <v>35000</v>
      </c>
      <c r="J23" s="7">
        <f>F23*(1+'Assumption Sheet'!$D$52)</f>
        <v>36750</v>
      </c>
      <c r="K23" s="7">
        <f>J23</f>
        <v>36750</v>
      </c>
      <c r="L23" s="7">
        <f t="shared" ref="L23:M23" si="22">K23</f>
        <v>36750</v>
      </c>
      <c r="M23" s="7">
        <f t="shared" si="22"/>
        <v>36750</v>
      </c>
      <c r="O23" s="7">
        <f>M23</f>
        <v>36750</v>
      </c>
      <c r="Q23" s="7">
        <f>M23*(1+'Assumption Sheet'!$D$52)</f>
        <v>38587.5</v>
      </c>
      <c r="R23" s="7">
        <f>Q23</f>
        <v>38587.5</v>
      </c>
      <c r="S23" s="7">
        <f t="shared" ref="S23:T23" si="23">R23</f>
        <v>38587.5</v>
      </c>
      <c r="T23" s="7">
        <f t="shared" si="23"/>
        <v>38587.5</v>
      </c>
      <c r="V23" s="7">
        <f>T23</f>
        <v>38587.5</v>
      </c>
      <c r="X23" s="7">
        <f>T23*(1+'Assumption Sheet'!$D$52)</f>
        <v>40516.875</v>
      </c>
      <c r="Y23" s="7">
        <f>X23</f>
        <v>40516.875</v>
      </c>
      <c r="Z23" s="7">
        <f t="shared" ref="Z23:AA23" si="24">Y23</f>
        <v>40516.875</v>
      </c>
      <c r="AA23" s="7">
        <f t="shared" si="24"/>
        <v>40516.875</v>
      </c>
      <c r="AC23" s="7">
        <f>AA23</f>
        <v>40516.875</v>
      </c>
      <c r="AE23" s="7">
        <f>AA23*(1+'Assumption Sheet'!$D$52)</f>
        <v>42542.71875</v>
      </c>
      <c r="AF23" s="7">
        <f>AE23</f>
        <v>42542.71875</v>
      </c>
      <c r="AG23" s="7">
        <f t="shared" ref="AG23:AH23" si="25">AF23</f>
        <v>42542.71875</v>
      </c>
      <c r="AH23" s="7">
        <f t="shared" si="25"/>
        <v>42542.71875</v>
      </c>
      <c r="AJ23" s="7">
        <f>AH23</f>
        <v>42542.71875</v>
      </c>
    </row>
    <row r="24" spans="2:36" x14ac:dyDescent="0.2">
      <c r="B24" s="8" t="s">
        <v>43</v>
      </c>
      <c r="C24" s="9">
        <f>C23*C11</f>
        <v>0</v>
      </c>
      <c r="D24" s="9">
        <f t="shared" ref="D24:F24" si="26">D23*D11</f>
        <v>0</v>
      </c>
      <c r="E24" s="9">
        <f t="shared" si="26"/>
        <v>0</v>
      </c>
      <c r="F24" s="9">
        <f t="shared" si="26"/>
        <v>0</v>
      </c>
      <c r="G24" s="8"/>
      <c r="H24" s="9">
        <f>SUM(C24:F24)</f>
        <v>0</v>
      </c>
      <c r="I24" s="8"/>
      <c r="J24" s="9">
        <f>J23*J11</f>
        <v>0</v>
      </c>
      <c r="K24" s="9">
        <f t="shared" ref="K24" si="27">K23*K11</f>
        <v>367500</v>
      </c>
      <c r="L24" s="9">
        <f t="shared" ref="L24" si="28">L23*L11</f>
        <v>1102500</v>
      </c>
      <c r="M24" s="9">
        <f t="shared" ref="M24" si="29">M23*M11</f>
        <v>1102500</v>
      </c>
      <c r="N24" s="8"/>
      <c r="O24" s="9">
        <f>SUM(J24:M24)</f>
        <v>2572500</v>
      </c>
      <c r="P24" s="8"/>
      <c r="Q24" s="9">
        <f>Q23*Q11</f>
        <v>1929375</v>
      </c>
      <c r="R24" s="9">
        <f t="shared" ref="R24" si="30">R23*R11</f>
        <v>1929375</v>
      </c>
      <c r="S24" s="9">
        <f t="shared" ref="S24" si="31">S23*S11</f>
        <v>1929375</v>
      </c>
      <c r="T24" s="9">
        <f t="shared" ref="T24" si="32">T23*T11</f>
        <v>1929375</v>
      </c>
      <c r="U24" s="8"/>
      <c r="V24" s="9">
        <f>SUM(Q24:T24)</f>
        <v>7717500</v>
      </c>
      <c r="W24" s="8"/>
      <c r="X24" s="9">
        <f>X23*X11</f>
        <v>2025843.75</v>
      </c>
      <c r="Y24" s="9">
        <f t="shared" ref="Y24" si="33">Y23*Y11</f>
        <v>4051687.5</v>
      </c>
      <c r="Z24" s="9">
        <f t="shared" ref="Z24" si="34">Z23*Z11</f>
        <v>4051687.5</v>
      </c>
      <c r="AA24" s="9">
        <f t="shared" ref="AA24" si="35">AA23*AA11</f>
        <v>4051687.5</v>
      </c>
      <c r="AB24" s="8"/>
      <c r="AC24" s="9">
        <f>SUM(X24:AA24)</f>
        <v>14180906.25</v>
      </c>
      <c r="AD24" s="8"/>
      <c r="AE24" s="9">
        <f>AE23*AE11</f>
        <v>4254271.875</v>
      </c>
      <c r="AF24" s="9">
        <f t="shared" ref="AF24" si="36">AF23*AF11</f>
        <v>4254271.875</v>
      </c>
      <c r="AG24" s="9">
        <f t="shared" ref="AG24" si="37">AG23*AG11</f>
        <v>4254271.875</v>
      </c>
      <c r="AH24" s="9">
        <f t="shared" ref="AH24" si="38">AH23*AH11</f>
        <v>4254271.875</v>
      </c>
      <c r="AI24" s="8"/>
      <c r="AJ24" s="9">
        <f>SUM(AE24:AH24)</f>
        <v>17017087.5</v>
      </c>
    </row>
    <row r="26" spans="2:36" x14ac:dyDescent="0.2">
      <c r="B26" s="6" t="s">
        <v>189</v>
      </c>
    </row>
    <row r="27" spans="2:36" x14ac:dyDescent="0.2">
      <c r="B27" s="5" t="s">
        <v>47</v>
      </c>
      <c r="C27" s="7">
        <f>'Assumption Sheet'!$D$76</f>
        <v>350000</v>
      </c>
      <c r="D27" s="7">
        <f>'Assumption Sheet'!$D$76</f>
        <v>350000</v>
      </c>
      <c r="E27" s="7">
        <f>'Assumption Sheet'!$D$76</f>
        <v>350000</v>
      </c>
      <c r="F27" s="7">
        <f>'Assumption Sheet'!$D$76</f>
        <v>350000</v>
      </c>
      <c r="H27" s="7">
        <f>F27</f>
        <v>350000</v>
      </c>
      <c r="J27" s="7">
        <f>F27*(1+'Assumption Sheet'!$D$77)</f>
        <v>367500</v>
      </c>
      <c r="K27" s="7">
        <f>J27</f>
        <v>367500</v>
      </c>
      <c r="L27" s="7">
        <f t="shared" ref="L27:M27" si="39">K27</f>
        <v>367500</v>
      </c>
      <c r="M27" s="7">
        <f t="shared" si="39"/>
        <v>367500</v>
      </c>
      <c r="O27" s="7">
        <f>M27</f>
        <v>367500</v>
      </c>
      <c r="Q27" s="7">
        <f>M27*(1+'Assumption Sheet'!$D$77)</f>
        <v>385875</v>
      </c>
      <c r="R27" s="7">
        <f>Q27</f>
        <v>385875</v>
      </c>
      <c r="S27" s="7">
        <f t="shared" ref="S27:T27" si="40">R27</f>
        <v>385875</v>
      </c>
      <c r="T27" s="7">
        <f t="shared" si="40"/>
        <v>385875</v>
      </c>
      <c r="V27" s="7">
        <f>T27</f>
        <v>385875</v>
      </c>
      <c r="X27" s="7">
        <f>T27*(1+'Assumption Sheet'!$D$77)</f>
        <v>405168.75</v>
      </c>
      <c r="Y27" s="7">
        <f>X27</f>
        <v>405168.75</v>
      </c>
      <c r="Z27" s="7">
        <f t="shared" ref="Z27:AA27" si="41">Y27</f>
        <v>405168.75</v>
      </c>
      <c r="AA27" s="7">
        <f t="shared" si="41"/>
        <v>405168.75</v>
      </c>
      <c r="AC27" s="7">
        <f>AA27</f>
        <v>405168.75</v>
      </c>
      <c r="AE27" s="7">
        <f>AA27*(1+'Assumption Sheet'!$D$77)</f>
        <v>425427.1875</v>
      </c>
      <c r="AF27" s="7">
        <f>AE27</f>
        <v>425427.1875</v>
      </c>
      <c r="AG27" s="7">
        <f t="shared" ref="AG27:AH27" si="42">AF27</f>
        <v>425427.1875</v>
      </c>
      <c r="AH27" s="7">
        <f t="shared" si="42"/>
        <v>425427.1875</v>
      </c>
      <c r="AJ27" s="7">
        <f>AH27</f>
        <v>425427.1875</v>
      </c>
    </row>
    <row r="28" spans="2:36" x14ac:dyDescent="0.2">
      <c r="B28" s="8" t="s">
        <v>191</v>
      </c>
      <c r="C28" s="9">
        <f>C27*C13</f>
        <v>350000</v>
      </c>
      <c r="D28" s="9">
        <f t="shared" ref="D28:F28" si="43">D27*D13</f>
        <v>350000</v>
      </c>
      <c r="E28" s="9">
        <f t="shared" si="43"/>
        <v>700000</v>
      </c>
      <c r="F28" s="9">
        <f t="shared" si="43"/>
        <v>700000</v>
      </c>
      <c r="G28" s="8"/>
      <c r="H28" s="9">
        <f>SUM(C28:F28)</f>
        <v>2100000</v>
      </c>
      <c r="I28" s="8"/>
      <c r="J28" s="9">
        <f>J27*J13</f>
        <v>1837500</v>
      </c>
      <c r="K28" s="9">
        <f t="shared" ref="K28" si="44">K27*K13</f>
        <v>1837500</v>
      </c>
      <c r="L28" s="9">
        <f t="shared" ref="L28" si="45">L27*L13</f>
        <v>1837500</v>
      </c>
      <c r="M28" s="9">
        <f t="shared" ref="M28" si="46">M27*M13</f>
        <v>1837500</v>
      </c>
      <c r="N28" s="8"/>
      <c r="O28" s="9">
        <f>SUM(J28:M28)</f>
        <v>7350000</v>
      </c>
      <c r="P28" s="8"/>
      <c r="Q28" s="9">
        <f>Q27*Q13</f>
        <v>1929375</v>
      </c>
      <c r="R28" s="9">
        <f t="shared" ref="R28" si="47">R27*R13</f>
        <v>1929375</v>
      </c>
      <c r="S28" s="9">
        <f t="shared" ref="S28" si="48">S27*S13</f>
        <v>1929375</v>
      </c>
      <c r="T28" s="9">
        <f t="shared" ref="T28" si="49">T27*T13</f>
        <v>1929375</v>
      </c>
      <c r="U28" s="8"/>
      <c r="V28" s="9">
        <f>SUM(Q28:T28)</f>
        <v>7717500</v>
      </c>
      <c r="W28" s="8"/>
      <c r="X28" s="9">
        <f>X27*X13</f>
        <v>4051687.5</v>
      </c>
      <c r="Y28" s="9">
        <f t="shared" ref="Y28" si="50">Y27*Y13</f>
        <v>4051687.5</v>
      </c>
      <c r="Z28" s="9">
        <f t="shared" ref="Z28" si="51">Z27*Z13</f>
        <v>4051687.5</v>
      </c>
      <c r="AA28" s="9">
        <f t="shared" ref="AA28" si="52">AA27*AA13</f>
        <v>4051687.5</v>
      </c>
      <c r="AB28" s="8"/>
      <c r="AC28" s="9">
        <f>SUM(X28:AA28)</f>
        <v>16206750</v>
      </c>
      <c r="AD28" s="8"/>
      <c r="AE28" s="9">
        <f>AE27*AE13</f>
        <v>4254271.875</v>
      </c>
      <c r="AF28" s="9">
        <f t="shared" ref="AF28" si="53">AF27*AF13</f>
        <v>4254271.875</v>
      </c>
      <c r="AG28" s="9">
        <f t="shared" ref="AG28" si="54">AG27*AG13</f>
        <v>4254271.875</v>
      </c>
      <c r="AH28" s="9">
        <f t="shared" ref="AH28" si="55">AH27*AH13</f>
        <v>4254271.875</v>
      </c>
      <c r="AI28" s="8"/>
      <c r="AJ28" s="9">
        <f>SUM(AE28:AH28)</f>
        <v>17017087.5</v>
      </c>
    </row>
    <row r="29" spans="2:36" ht="16" thickBot="1" x14ac:dyDescent="0.25"/>
    <row r="30" spans="2:36" ht="16" thickBot="1" x14ac:dyDescent="0.25">
      <c r="B30" s="10" t="s">
        <v>48</v>
      </c>
      <c r="C30" s="11">
        <f>C28+C24+C20</f>
        <v>350000</v>
      </c>
      <c r="D30" s="11">
        <f t="shared" ref="D30:H30" si="56">D28+D24+D20</f>
        <v>350000</v>
      </c>
      <c r="E30" s="11">
        <f t="shared" si="56"/>
        <v>700000</v>
      </c>
      <c r="F30" s="12">
        <f t="shared" si="56"/>
        <v>700000</v>
      </c>
      <c r="H30" s="13">
        <f t="shared" si="56"/>
        <v>2100000</v>
      </c>
      <c r="J30" s="14">
        <f>J28+J24+J20</f>
        <v>1942500</v>
      </c>
      <c r="K30" s="11">
        <f t="shared" ref="K30:O30" si="57">K28+K24+K20</f>
        <v>2415000</v>
      </c>
      <c r="L30" s="11">
        <f t="shared" si="57"/>
        <v>3255000</v>
      </c>
      <c r="M30" s="12">
        <f t="shared" si="57"/>
        <v>3465000</v>
      </c>
      <c r="O30" s="13">
        <f t="shared" si="57"/>
        <v>11077500</v>
      </c>
      <c r="Q30" s="14">
        <f>Q28+Q24+Q20</f>
        <v>4630500</v>
      </c>
      <c r="R30" s="11">
        <f t="shared" ref="R30:V30" si="58">R28+R24+R20</f>
        <v>4851000</v>
      </c>
      <c r="S30" s="11">
        <f t="shared" si="58"/>
        <v>5181750</v>
      </c>
      <c r="T30" s="12">
        <f t="shared" si="58"/>
        <v>5512500</v>
      </c>
      <c r="V30" s="13">
        <f t="shared" si="58"/>
        <v>20175750</v>
      </c>
      <c r="X30" s="14">
        <f>X28+X24+X20</f>
        <v>8161256.25</v>
      </c>
      <c r="Y30" s="11">
        <f t="shared" ref="Y30:AC30" si="59">Y28+Y24+Y20</f>
        <v>10650150</v>
      </c>
      <c r="Z30" s="11">
        <f t="shared" si="59"/>
        <v>11113200</v>
      </c>
      <c r="AA30" s="12">
        <f t="shared" si="59"/>
        <v>11692012.5</v>
      </c>
      <c r="AC30" s="13">
        <f t="shared" si="59"/>
        <v>41616618.75</v>
      </c>
      <c r="AE30" s="14">
        <f>AE28+AE24+AE20</f>
        <v>12884366.25</v>
      </c>
      <c r="AF30" s="11">
        <f t="shared" ref="AF30:AJ30" si="60">AF28+AF24+AF20</f>
        <v>13492119.375</v>
      </c>
      <c r="AG30" s="11">
        <f t="shared" si="60"/>
        <v>14099872.5</v>
      </c>
      <c r="AH30" s="12">
        <f t="shared" si="60"/>
        <v>14707625.625</v>
      </c>
      <c r="AJ30" s="13">
        <f t="shared" si="60"/>
        <v>55183983.75</v>
      </c>
    </row>
    <row r="32" spans="2:36" x14ac:dyDescent="0.2">
      <c r="B32" s="21" t="s">
        <v>55</v>
      </c>
    </row>
    <row r="33" spans="2:36" x14ac:dyDescent="0.2">
      <c r="B33" s="6" t="s">
        <v>189</v>
      </c>
    </row>
    <row r="34" spans="2:36" x14ac:dyDescent="0.2">
      <c r="B34" s="5" t="s">
        <v>192</v>
      </c>
      <c r="C34" s="7">
        <f>'Assumption Sheet'!$D$9</f>
        <v>259000</v>
      </c>
      <c r="D34" s="7">
        <f>'Assumption Sheet'!$D$9</f>
        <v>259000</v>
      </c>
      <c r="E34" s="7">
        <f>'Assumption Sheet'!$D$9</f>
        <v>259000</v>
      </c>
      <c r="F34" s="7">
        <f>'Assumption Sheet'!$D$9</f>
        <v>259000</v>
      </c>
      <c r="H34" s="7">
        <f>F34</f>
        <v>259000</v>
      </c>
      <c r="J34" s="7">
        <f>F34*(1-'Assumption Sheet'!$D$10)</f>
        <v>246050</v>
      </c>
      <c r="K34" s="7">
        <f>J34</f>
        <v>246050</v>
      </c>
      <c r="L34" s="7">
        <f t="shared" ref="L34:M34" si="61">K34</f>
        <v>246050</v>
      </c>
      <c r="M34" s="7">
        <f t="shared" si="61"/>
        <v>246050</v>
      </c>
      <c r="O34" s="7">
        <f>M34</f>
        <v>246050</v>
      </c>
      <c r="Q34" s="7">
        <f>M34*(1-'Assumption Sheet'!$D$10)</f>
        <v>233747.5</v>
      </c>
      <c r="R34" s="7">
        <f>Q34</f>
        <v>233747.5</v>
      </c>
      <c r="S34" s="7">
        <f t="shared" ref="S34:T34" si="62">R34</f>
        <v>233747.5</v>
      </c>
      <c r="T34" s="7">
        <f t="shared" si="62"/>
        <v>233747.5</v>
      </c>
      <c r="V34" s="7">
        <f>T34</f>
        <v>233747.5</v>
      </c>
      <c r="X34" s="7">
        <f>T34*(1-'Assumption Sheet'!$D$10)</f>
        <v>222060.125</v>
      </c>
      <c r="Y34" s="7">
        <f>X34</f>
        <v>222060.125</v>
      </c>
      <c r="Z34" s="7">
        <f t="shared" ref="Z34:AA34" si="63">Y34</f>
        <v>222060.125</v>
      </c>
      <c r="AA34" s="7">
        <f t="shared" si="63"/>
        <v>222060.125</v>
      </c>
      <c r="AC34" s="7">
        <f>AA34</f>
        <v>222060.125</v>
      </c>
      <c r="AE34" s="7">
        <f>AA34*(1-'Assumption Sheet'!$D$10)</f>
        <v>210957.11874999999</v>
      </c>
      <c r="AF34" s="7">
        <f>AE34</f>
        <v>210957.11874999999</v>
      </c>
      <c r="AG34" s="7">
        <f t="shared" ref="AG34:AH34" si="64">AF34</f>
        <v>210957.11874999999</v>
      </c>
      <c r="AH34" s="7">
        <f t="shared" si="64"/>
        <v>210957.11874999999</v>
      </c>
      <c r="AJ34" s="7">
        <f>AH34</f>
        <v>210957.11874999999</v>
      </c>
    </row>
    <row r="35" spans="2:36" x14ac:dyDescent="0.2">
      <c r="B35" s="5" t="s">
        <v>193</v>
      </c>
      <c r="C35" s="7">
        <f>C34*C13</f>
        <v>259000</v>
      </c>
      <c r="D35" s="7">
        <f>D34*D13</f>
        <v>259000</v>
      </c>
      <c r="E35" s="7">
        <f>E34*E13</f>
        <v>518000</v>
      </c>
      <c r="F35" s="7">
        <f>F34*F13</f>
        <v>518000</v>
      </c>
      <c r="H35" s="7">
        <f>SUM(C35:F35)</f>
        <v>1554000</v>
      </c>
      <c r="J35" s="7">
        <f>J34*J13</f>
        <v>1230250</v>
      </c>
      <c r="K35" s="7">
        <f>K34*K13</f>
        <v>1230250</v>
      </c>
      <c r="L35" s="7">
        <f>L34*L13</f>
        <v>1230250</v>
      </c>
      <c r="M35" s="7">
        <f>M34*M13</f>
        <v>1230250</v>
      </c>
      <c r="O35" s="7">
        <f>SUM(J35:M35)</f>
        <v>4921000</v>
      </c>
      <c r="Q35" s="7">
        <f>Q34*Q13</f>
        <v>1168737.5</v>
      </c>
      <c r="R35" s="7">
        <f>R34*R13</f>
        <v>1168737.5</v>
      </c>
      <c r="S35" s="7">
        <f>S34*S13</f>
        <v>1168737.5</v>
      </c>
      <c r="T35" s="7">
        <f>T34*T13</f>
        <v>1168737.5</v>
      </c>
      <c r="V35" s="7">
        <f>SUM(Q35:T35)</f>
        <v>4674950</v>
      </c>
      <c r="X35" s="7">
        <f>X34*X13</f>
        <v>2220601.25</v>
      </c>
      <c r="Y35" s="7">
        <f>Y34*Y13</f>
        <v>2220601.25</v>
      </c>
      <c r="Z35" s="7">
        <f>Z34*Z13</f>
        <v>2220601.25</v>
      </c>
      <c r="AA35" s="7">
        <f>AA34*AA13</f>
        <v>2220601.25</v>
      </c>
      <c r="AC35" s="7">
        <f>SUM(X35:AA35)</f>
        <v>8882405</v>
      </c>
      <c r="AE35" s="7">
        <f>AE34*AE13</f>
        <v>2109571.1875</v>
      </c>
      <c r="AF35" s="7">
        <f>AF34*AF13</f>
        <v>2109571.1875</v>
      </c>
      <c r="AG35" s="7">
        <f>AG34*AG13</f>
        <v>2109571.1875</v>
      </c>
      <c r="AH35" s="7">
        <f>AH34*AH13</f>
        <v>2109571.1875</v>
      </c>
      <c r="AJ35" s="7">
        <f>SUM(AE35:AH35)</f>
        <v>8438284.75</v>
      </c>
    </row>
    <row r="37" spans="2:36" x14ac:dyDescent="0.2">
      <c r="B37" s="23" t="s">
        <v>53</v>
      </c>
      <c r="C37" s="24">
        <f>C30-C35</f>
        <v>91000</v>
      </c>
      <c r="D37" s="24">
        <f>D30-D35</f>
        <v>91000</v>
      </c>
      <c r="E37" s="24">
        <f>E30-E35</f>
        <v>182000</v>
      </c>
      <c r="F37" s="25">
        <f>F30-F35</f>
        <v>182000</v>
      </c>
      <c r="H37" s="26">
        <f>H30-H35</f>
        <v>546000</v>
      </c>
      <c r="J37" s="29">
        <f>J30-J35</f>
        <v>712250</v>
      </c>
      <c r="K37" s="24">
        <f>K30-K35</f>
        <v>1184750</v>
      </c>
      <c r="L37" s="24">
        <f>L30-L35</f>
        <v>2024750</v>
      </c>
      <c r="M37" s="25">
        <f>M30-M35</f>
        <v>2234750</v>
      </c>
      <c r="O37" s="26">
        <f>O30-O35</f>
        <v>6156500</v>
      </c>
      <c r="Q37" s="29">
        <f>Q30-Q35</f>
        <v>3461762.5</v>
      </c>
      <c r="R37" s="24">
        <f>R30-R35</f>
        <v>3682262.5</v>
      </c>
      <c r="S37" s="24">
        <f>S30-S35</f>
        <v>4013012.5</v>
      </c>
      <c r="T37" s="25">
        <f>T30-T35</f>
        <v>4343762.5</v>
      </c>
      <c r="V37" s="26">
        <f>V30-V35</f>
        <v>15500800</v>
      </c>
      <c r="X37" s="29">
        <f>X30-X35</f>
        <v>5940655</v>
      </c>
      <c r="Y37" s="24">
        <f>Y30-Y35</f>
        <v>8429548.75</v>
      </c>
      <c r="Z37" s="24">
        <f>Z30-Z35</f>
        <v>8892598.75</v>
      </c>
      <c r="AA37" s="25">
        <f>AA30-AA35</f>
        <v>9471411.25</v>
      </c>
      <c r="AC37" s="26">
        <f>AC30-AC35</f>
        <v>32734213.75</v>
      </c>
      <c r="AE37" s="29">
        <f>AE30-AE35</f>
        <v>10774795.0625</v>
      </c>
      <c r="AF37" s="24">
        <f>AF30-AF35</f>
        <v>11382548.1875</v>
      </c>
      <c r="AG37" s="24">
        <f>AG30-AG35</f>
        <v>11990301.3125</v>
      </c>
      <c r="AH37" s="25">
        <f>AH30-AH35</f>
        <v>12598054.4375</v>
      </c>
      <c r="AJ37" s="26">
        <f>AJ30-AJ35</f>
        <v>46745699</v>
      </c>
    </row>
    <row r="38" spans="2:36" x14ac:dyDescent="0.2">
      <c r="B38" s="27" t="s">
        <v>54</v>
      </c>
      <c r="C38" s="28">
        <f>IFERROR(C37/C30,0%)</f>
        <v>0.26</v>
      </c>
      <c r="D38" s="28">
        <f>IFERROR(D37/D30,0%)</f>
        <v>0.26</v>
      </c>
      <c r="E38" s="28">
        <f>IFERROR(E37/E30,0%)</f>
        <v>0.26</v>
      </c>
      <c r="F38" s="28">
        <f>IFERROR(F37/F30,0%)</f>
        <v>0.26</v>
      </c>
      <c r="H38" s="28">
        <f>IFERROR(H37/H30,0%)</f>
        <v>0.26</v>
      </c>
      <c r="J38" s="28">
        <f>IFERROR(J37/J30,0%)</f>
        <v>0.36666666666666664</v>
      </c>
      <c r="K38" s="28">
        <f>IFERROR(K37/K30,0%)</f>
        <v>0.49057971014492752</v>
      </c>
      <c r="L38" s="28">
        <f>IFERROR(L37/L30,0%)</f>
        <v>0.6220430107526882</v>
      </c>
      <c r="M38" s="28">
        <f>IFERROR(M37/M30,0%)</f>
        <v>0.64494949494949494</v>
      </c>
      <c r="O38" s="28">
        <f>IFERROR(O37/O30,0%)</f>
        <v>0.55576619273301742</v>
      </c>
      <c r="Q38" s="28">
        <f>IFERROR(Q37/Q30,0%)</f>
        <v>0.74760015117157974</v>
      </c>
      <c r="R38" s="28">
        <f>IFERROR(R37/R30,0%)</f>
        <v>0.75907287157287162</v>
      </c>
      <c r="S38" s="28">
        <f>IFERROR(S37/S30,0%)</f>
        <v>0.77445119891928405</v>
      </c>
      <c r="T38" s="28">
        <f>IFERROR(T37/T30,0%)</f>
        <v>0.78798412698412701</v>
      </c>
      <c r="V38" s="28">
        <f>IFERROR(V37/V30,0%)</f>
        <v>0.76828866337063062</v>
      </c>
      <c r="X38" s="28">
        <f>IFERROR(X37/X30,0%)</f>
        <v>0.72790938282326323</v>
      </c>
      <c r="Y38" s="28">
        <f>IFERROR(Y37/Y30,0%)</f>
        <v>0.79149577705478324</v>
      </c>
      <c r="Z38" s="28">
        <f>IFERROR(Z37/Z30,0%)</f>
        <v>0.80018345301083393</v>
      </c>
      <c r="AA38" s="28">
        <f>IFERROR(AA37/AA30,0%)</f>
        <v>0.81007536127762436</v>
      </c>
      <c r="AC38" s="28">
        <f>IFERROR(AC37/AC30,0%)</f>
        <v>0.78656591364717732</v>
      </c>
      <c r="AE38" s="28">
        <f>IFERROR(AE37/AE30,0%)</f>
        <v>0.83626892106548123</v>
      </c>
      <c r="AF38" s="28">
        <f>IFERROR(AF37/AF30,0%)</f>
        <v>0.84364419489136044</v>
      </c>
      <c r="AG38" s="28">
        <f>IFERROR(AG37/AG30,0%)</f>
        <v>0.85038366924949149</v>
      </c>
      <c r="AH38" s="28">
        <f>IFERROR(AH37/AH30,0%)</f>
        <v>0.85656616225571081</v>
      </c>
      <c r="AJ38" s="28">
        <f>IFERROR(AJ37/AJ30,0%)</f>
        <v>0.84708815535630844</v>
      </c>
    </row>
    <row r="40" spans="2:36" x14ac:dyDescent="0.2">
      <c r="B40" s="21" t="s">
        <v>56</v>
      </c>
    </row>
    <row r="41" spans="2:36" x14ac:dyDescent="0.2">
      <c r="B41" s="5" t="s">
        <v>63</v>
      </c>
      <c r="C41" s="7">
        <f>C$30*C42</f>
        <v>0</v>
      </c>
      <c r="D41" s="7">
        <f t="shared" ref="D41:F41" si="65">D$30*D42</f>
        <v>0</v>
      </c>
      <c r="E41" s="7">
        <f t="shared" si="65"/>
        <v>0</v>
      </c>
      <c r="F41" s="7">
        <f t="shared" si="65"/>
        <v>0</v>
      </c>
      <c r="H41" s="7">
        <f>SUM(C41:F41)</f>
        <v>0</v>
      </c>
      <c r="J41" s="7">
        <f>J$30*J42</f>
        <v>77700</v>
      </c>
      <c r="K41" s="7">
        <f t="shared" ref="K41" si="66">K$30*K42</f>
        <v>96600</v>
      </c>
      <c r="L41" s="7">
        <f t="shared" ref="L41" si="67">L$30*L42</f>
        <v>130200</v>
      </c>
      <c r="M41" s="7">
        <f t="shared" ref="M41" si="68">M$30*M42</f>
        <v>138600</v>
      </c>
      <c r="O41" s="7">
        <f>SUM(J41:M41)</f>
        <v>443100</v>
      </c>
      <c r="Q41" s="7">
        <f>Q$30*Q42</f>
        <v>185220</v>
      </c>
      <c r="R41" s="7">
        <f t="shared" ref="R41" si="69">R$30*R42</f>
        <v>194040</v>
      </c>
      <c r="S41" s="7">
        <f t="shared" ref="S41" si="70">S$30*S42</f>
        <v>207270</v>
      </c>
      <c r="T41" s="7">
        <f t="shared" ref="T41" si="71">T$30*T42</f>
        <v>220500</v>
      </c>
      <c r="V41" s="7">
        <f>SUM(Q41:T41)</f>
        <v>807030</v>
      </c>
      <c r="X41" s="7">
        <f>X$30*X42</f>
        <v>163225.125</v>
      </c>
      <c r="Y41" s="7">
        <f t="shared" ref="Y41" si="72">Y$30*Y42</f>
        <v>213003</v>
      </c>
      <c r="Z41" s="7">
        <f t="shared" ref="Z41" si="73">Z$30*Z42</f>
        <v>222264</v>
      </c>
      <c r="AA41" s="7">
        <f t="shared" ref="AA41" si="74">AA$30*AA42</f>
        <v>233840.25</v>
      </c>
      <c r="AC41" s="7">
        <f>SUM(X41:AA41)</f>
        <v>832332.375</v>
      </c>
      <c r="AE41" s="7">
        <f>AE$30*AE42</f>
        <v>257687.32500000001</v>
      </c>
      <c r="AF41" s="7">
        <f t="shared" ref="AF41" si="75">AF$30*AF42</f>
        <v>269842.38750000001</v>
      </c>
      <c r="AG41" s="7">
        <f t="shared" ref="AG41" si="76">AG$30*AG42</f>
        <v>281997.45</v>
      </c>
      <c r="AH41" s="7">
        <f t="shared" ref="AH41" si="77">AH$30*AH42</f>
        <v>294152.51250000001</v>
      </c>
      <c r="AJ41" s="7">
        <f>SUM(AE41:AH41)</f>
        <v>1103679.675</v>
      </c>
    </row>
    <row r="42" spans="2:36" x14ac:dyDescent="0.2">
      <c r="B42" s="27" t="s">
        <v>57</v>
      </c>
      <c r="C42" s="111">
        <v>0</v>
      </c>
      <c r="D42" s="111">
        <v>0</v>
      </c>
      <c r="E42" s="111">
        <v>0</v>
      </c>
      <c r="F42" s="111">
        <v>0</v>
      </c>
      <c r="G42" s="112"/>
      <c r="H42" s="113">
        <f>H41/H$30</f>
        <v>0</v>
      </c>
      <c r="I42" s="112"/>
      <c r="J42" s="111">
        <v>0.04</v>
      </c>
      <c r="K42" s="111">
        <v>0.04</v>
      </c>
      <c r="L42" s="111">
        <v>0.04</v>
      </c>
      <c r="M42" s="111">
        <v>0.04</v>
      </c>
      <c r="N42" s="112"/>
      <c r="O42" s="113">
        <f>O41/O$30</f>
        <v>0.04</v>
      </c>
      <c r="P42" s="112"/>
      <c r="Q42" s="111">
        <v>0.04</v>
      </c>
      <c r="R42" s="111">
        <v>0.04</v>
      </c>
      <c r="S42" s="111">
        <v>0.04</v>
      </c>
      <c r="T42" s="111">
        <v>0.04</v>
      </c>
      <c r="U42" s="112"/>
      <c r="V42" s="113">
        <f>V41/V$30</f>
        <v>0.04</v>
      </c>
      <c r="W42" s="112"/>
      <c r="X42" s="111">
        <v>0.02</v>
      </c>
      <c r="Y42" s="111">
        <v>0.02</v>
      </c>
      <c r="Z42" s="111">
        <v>0.02</v>
      </c>
      <c r="AA42" s="111">
        <v>0.02</v>
      </c>
      <c r="AB42" s="112"/>
      <c r="AC42" s="113">
        <f>AC41/AC$30</f>
        <v>0.02</v>
      </c>
      <c r="AD42" s="112"/>
      <c r="AE42" s="111">
        <v>0.02</v>
      </c>
      <c r="AF42" s="111">
        <v>0.02</v>
      </c>
      <c r="AG42" s="111">
        <v>0.02</v>
      </c>
      <c r="AH42" s="111">
        <v>0.02</v>
      </c>
      <c r="AI42" s="112"/>
      <c r="AJ42" s="113">
        <f>AJ41/AJ$30</f>
        <v>0.02</v>
      </c>
    </row>
    <row r="43" spans="2:36" x14ac:dyDescent="0.2">
      <c r="B43" s="5" t="s">
        <v>58</v>
      </c>
      <c r="C43" s="7">
        <f>C$30*C44</f>
        <v>7000</v>
      </c>
      <c r="D43" s="7">
        <f t="shared" ref="D43" si="78">D$30*D44</f>
        <v>7000</v>
      </c>
      <c r="E43" s="7">
        <f t="shared" ref="E43" si="79">E$30*E44</f>
        <v>7000</v>
      </c>
      <c r="F43" s="7">
        <f t="shared" ref="F43" si="80">F$30*F44</f>
        <v>7000</v>
      </c>
      <c r="H43" s="7">
        <f>SUM(C43:F43)</f>
        <v>28000</v>
      </c>
      <c r="J43" s="7">
        <f>J$30*J44</f>
        <v>58275</v>
      </c>
      <c r="K43" s="7">
        <f t="shared" ref="K43" si="81">K$30*K44</f>
        <v>72450</v>
      </c>
      <c r="L43" s="7">
        <f t="shared" ref="L43" si="82">L$30*L44</f>
        <v>97650</v>
      </c>
      <c r="M43" s="7">
        <f t="shared" ref="M43" si="83">M$30*M44</f>
        <v>103950</v>
      </c>
      <c r="O43" s="7">
        <f>SUM(J43:M43)</f>
        <v>332325</v>
      </c>
      <c r="Q43" s="7">
        <f>Q$30*Q44</f>
        <v>115762.5</v>
      </c>
      <c r="R43" s="7">
        <f t="shared" ref="R43" si="84">R$30*R44</f>
        <v>121275</v>
      </c>
      <c r="S43" s="7">
        <f t="shared" ref="S43" si="85">S$30*S44</f>
        <v>129543.75</v>
      </c>
      <c r="T43" s="7">
        <f t="shared" ref="T43" si="86">T$30*T44</f>
        <v>137812.5</v>
      </c>
      <c r="V43" s="7">
        <f>SUM(Q43:T43)</f>
        <v>504393.75</v>
      </c>
      <c r="X43" s="7">
        <f>X$30*X44</f>
        <v>204031.40625</v>
      </c>
      <c r="Y43" s="7">
        <f t="shared" ref="Y43" si="87">Y$30*Y44</f>
        <v>266253.75</v>
      </c>
      <c r="Z43" s="7">
        <f t="shared" ref="Z43" si="88">Z$30*Z44</f>
        <v>277830</v>
      </c>
      <c r="AA43" s="7">
        <f t="shared" ref="AA43" si="89">AA$30*AA44</f>
        <v>292300.3125</v>
      </c>
      <c r="AC43" s="7">
        <f>SUM(X43:AA43)</f>
        <v>1040415.46875</v>
      </c>
      <c r="AE43" s="7">
        <f>AE$30*AE44</f>
        <v>257687.32500000001</v>
      </c>
      <c r="AF43" s="7">
        <f t="shared" ref="AF43" si="90">AF$30*AF44</f>
        <v>269842.38750000001</v>
      </c>
      <c r="AG43" s="7">
        <f t="shared" ref="AG43" si="91">AG$30*AG44</f>
        <v>281997.45</v>
      </c>
      <c r="AH43" s="7">
        <f t="shared" ref="AH43" si="92">AH$30*AH44</f>
        <v>294152.51250000001</v>
      </c>
      <c r="AJ43" s="7">
        <f>SUM(AE43:AH43)</f>
        <v>1103679.675</v>
      </c>
    </row>
    <row r="44" spans="2:36" x14ac:dyDescent="0.2">
      <c r="B44" s="27" t="s">
        <v>57</v>
      </c>
      <c r="C44" s="111">
        <v>0.02</v>
      </c>
      <c r="D44" s="111">
        <v>0.02</v>
      </c>
      <c r="E44" s="111">
        <v>0.01</v>
      </c>
      <c r="F44" s="111">
        <v>0.01</v>
      </c>
      <c r="G44" s="112"/>
      <c r="H44" s="113">
        <f>H43/H$30</f>
        <v>1.3333333333333334E-2</v>
      </c>
      <c r="I44" s="112"/>
      <c r="J44" s="111">
        <v>0.03</v>
      </c>
      <c r="K44" s="111">
        <v>0.03</v>
      </c>
      <c r="L44" s="111">
        <v>0.03</v>
      </c>
      <c r="M44" s="111">
        <v>0.03</v>
      </c>
      <c r="N44" s="112"/>
      <c r="O44" s="113">
        <f>O43/O$30</f>
        <v>0.03</v>
      </c>
      <c r="P44" s="112"/>
      <c r="Q44" s="111">
        <v>2.5000000000000001E-2</v>
      </c>
      <c r="R44" s="111">
        <v>2.5000000000000001E-2</v>
      </c>
      <c r="S44" s="111">
        <v>2.5000000000000001E-2</v>
      </c>
      <c r="T44" s="111">
        <v>2.5000000000000001E-2</v>
      </c>
      <c r="U44" s="112"/>
      <c r="V44" s="113">
        <f>V43/V$30</f>
        <v>2.5000000000000001E-2</v>
      </c>
      <c r="W44" s="112"/>
      <c r="X44" s="111">
        <v>2.5000000000000001E-2</v>
      </c>
      <c r="Y44" s="111">
        <v>2.5000000000000001E-2</v>
      </c>
      <c r="Z44" s="111">
        <v>2.5000000000000001E-2</v>
      </c>
      <c r="AA44" s="111">
        <v>2.5000000000000001E-2</v>
      </c>
      <c r="AB44" s="112"/>
      <c r="AC44" s="113">
        <f>AC43/AC$30</f>
        <v>2.5000000000000001E-2</v>
      </c>
      <c r="AD44" s="112"/>
      <c r="AE44" s="111">
        <v>0.02</v>
      </c>
      <c r="AF44" s="111">
        <v>0.02</v>
      </c>
      <c r="AG44" s="111">
        <v>0.02</v>
      </c>
      <c r="AH44" s="111">
        <v>0.02</v>
      </c>
      <c r="AI44" s="112"/>
      <c r="AJ44" s="113">
        <f>AJ43/AJ$30</f>
        <v>0.02</v>
      </c>
    </row>
    <row r="45" spans="2:36" x14ac:dyDescent="0.2">
      <c r="B45" s="31" t="s">
        <v>59</v>
      </c>
      <c r="C45" s="7">
        <f>C$30*C46</f>
        <v>70000</v>
      </c>
      <c r="D45" s="7">
        <f t="shared" ref="D45" si="93">D$30*D46</f>
        <v>70000</v>
      </c>
      <c r="E45" s="7">
        <f t="shared" ref="E45" si="94">E$30*E46</f>
        <v>84000</v>
      </c>
      <c r="F45" s="7">
        <f t="shared" ref="F45" si="95">F$30*F46</f>
        <v>84000</v>
      </c>
      <c r="H45" s="7">
        <f>SUM(C45:F45)</f>
        <v>308000</v>
      </c>
      <c r="J45" s="7">
        <f>J$30*J46</f>
        <v>213675</v>
      </c>
      <c r="K45" s="7">
        <f t="shared" ref="K45" si="96">K$30*K46</f>
        <v>229425</v>
      </c>
      <c r="L45" s="7">
        <f t="shared" ref="L45" si="97">L$30*L46</f>
        <v>260400</v>
      </c>
      <c r="M45" s="7">
        <f t="shared" ref="M45" si="98">M$30*M46</f>
        <v>277200</v>
      </c>
      <c r="O45" s="7">
        <f>SUM(J45:M45)</f>
        <v>980700</v>
      </c>
      <c r="Q45" s="7">
        <f>Q$30*Q46</f>
        <v>370440</v>
      </c>
      <c r="R45" s="7">
        <f t="shared" ref="R45" si="99">R$30*R46</f>
        <v>388080</v>
      </c>
      <c r="S45" s="7">
        <f t="shared" ref="S45" si="100">S$30*S46</f>
        <v>414540</v>
      </c>
      <c r="T45" s="7">
        <f t="shared" ref="T45" si="101">T$30*T46</f>
        <v>441000</v>
      </c>
      <c r="V45" s="7">
        <f>SUM(Q45:T45)</f>
        <v>1614060</v>
      </c>
      <c r="X45" s="7">
        <f>X$30*X46</f>
        <v>652900.5</v>
      </c>
      <c r="Y45" s="7">
        <f t="shared" ref="Y45" si="102">Y$30*Y46</f>
        <v>745510.50000000012</v>
      </c>
      <c r="Z45" s="7">
        <f t="shared" ref="Z45" si="103">Z$30*Z46</f>
        <v>777924.00000000012</v>
      </c>
      <c r="AA45" s="7">
        <f t="shared" ref="AA45" si="104">AA$30*AA46</f>
        <v>818440.87500000012</v>
      </c>
      <c r="AC45" s="7">
        <f>SUM(X45:AA45)</f>
        <v>2994775.875</v>
      </c>
      <c r="AE45" s="7">
        <f>AE$30*AE46</f>
        <v>901905.63750000007</v>
      </c>
      <c r="AF45" s="7">
        <f t="shared" ref="AF45" si="105">AF$30*AF46</f>
        <v>944448.35625000007</v>
      </c>
      <c r="AG45" s="7">
        <f t="shared" ref="AG45" si="106">AG$30*AG46</f>
        <v>986991.07500000007</v>
      </c>
      <c r="AH45" s="7">
        <f t="shared" ref="AH45" si="107">AH$30*AH46</f>
        <v>1029533.7937500001</v>
      </c>
      <c r="AJ45" s="7">
        <f>SUM(AE45:AH45)</f>
        <v>3862878.8625000003</v>
      </c>
    </row>
    <row r="46" spans="2:36" x14ac:dyDescent="0.2">
      <c r="B46" s="32" t="s">
        <v>57</v>
      </c>
      <c r="C46" s="111">
        <v>0.2</v>
      </c>
      <c r="D46" s="111">
        <v>0.2</v>
      </c>
      <c r="E46" s="111">
        <v>0.12</v>
      </c>
      <c r="F46" s="111">
        <v>0.12</v>
      </c>
      <c r="G46" s="112"/>
      <c r="H46" s="113">
        <f>H45/H$30</f>
        <v>0.14666666666666667</v>
      </c>
      <c r="I46" s="112"/>
      <c r="J46" s="111">
        <v>0.11</v>
      </c>
      <c r="K46" s="111">
        <v>9.5000000000000001E-2</v>
      </c>
      <c r="L46" s="111">
        <v>0.08</v>
      </c>
      <c r="M46" s="111">
        <v>0.08</v>
      </c>
      <c r="N46" s="112"/>
      <c r="O46" s="113">
        <f>O45/O$30</f>
        <v>8.8530805687203798E-2</v>
      </c>
      <c r="P46" s="112"/>
      <c r="Q46" s="111">
        <v>0.08</v>
      </c>
      <c r="R46" s="111">
        <v>0.08</v>
      </c>
      <c r="S46" s="111">
        <v>0.08</v>
      </c>
      <c r="T46" s="111">
        <v>0.08</v>
      </c>
      <c r="U46" s="112"/>
      <c r="V46" s="113">
        <f>V45/V$30</f>
        <v>0.08</v>
      </c>
      <c r="W46" s="112"/>
      <c r="X46" s="111">
        <v>0.08</v>
      </c>
      <c r="Y46" s="111">
        <v>7.0000000000000007E-2</v>
      </c>
      <c r="Z46" s="111">
        <v>7.0000000000000007E-2</v>
      </c>
      <c r="AA46" s="111">
        <v>7.0000000000000007E-2</v>
      </c>
      <c r="AB46" s="112"/>
      <c r="AC46" s="113">
        <f>AC45/AC$30</f>
        <v>7.1961057023643957E-2</v>
      </c>
      <c r="AD46" s="112"/>
      <c r="AE46" s="111">
        <v>7.0000000000000007E-2</v>
      </c>
      <c r="AF46" s="111">
        <v>7.0000000000000007E-2</v>
      </c>
      <c r="AG46" s="111">
        <v>7.0000000000000007E-2</v>
      </c>
      <c r="AH46" s="111">
        <v>7.0000000000000007E-2</v>
      </c>
      <c r="AI46" s="112"/>
      <c r="AJ46" s="113">
        <f>AJ45/AJ$30</f>
        <v>7.0000000000000007E-2</v>
      </c>
    </row>
    <row r="47" spans="2:36" x14ac:dyDescent="0.2">
      <c r="B47" s="31" t="s">
        <v>60</v>
      </c>
      <c r="C47" s="7">
        <f>C$30*C48</f>
        <v>0</v>
      </c>
      <c r="D47" s="7">
        <f t="shared" ref="D47" si="108">D$30*D48</f>
        <v>0</v>
      </c>
      <c r="E47" s="7">
        <f t="shared" ref="E47" si="109">E$30*E48</f>
        <v>0</v>
      </c>
      <c r="F47" s="7">
        <f t="shared" ref="F47" si="110">F$30*F48</f>
        <v>0</v>
      </c>
      <c r="H47" s="7">
        <f>SUM(C47:F47)</f>
        <v>0</v>
      </c>
      <c r="J47" s="7">
        <f>J$30*J48</f>
        <v>0</v>
      </c>
      <c r="K47" s="7">
        <f t="shared" ref="K47" si="111">K$30*K48</f>
        <v>0</v>
      </c>
      <c r="L47" s="7">
        <f t="shared" ref="L47" si="112">L$30*L48</f>
        <v>0</v>
      </c>
      <c r="M47" s="7">
        <f t="shared" ref="M47" si="113">M$30*M48</f>
        <v>0</v>
      </c>
      <c r="O47" s="7">
        <f>SUM(J47:M47)</f>
        <v>0</v>
      </c>
      <c r="Q47" s="7">
        <f>Q$30*Q48</f>
        <v>13891.5</v>
      </c>
      <c r="R47" s="7">
        <f t="shared" ref="R47" si="114">R$30*R48</f>
        <v>14553</v>
      </c>
      <c r="S47" s="7">
        <f t="shared" ref="S47" si="115">S$30*S48</f>
        <v>15545.25</v>
      </c>
      <c r="T47" s="7">
        <f t="shared" ref="T47" si="116">T$30*T48</f>
        <v>16537.5</v>
      </c>
      <c r="V47" s="7">
        <f>SUM(Q47:T47)</f>
        <v>60527.25</v>
      </c>
      <c r="X47" s="7">
        <f>X$30*X48</f>
        <v>24483.768749999999</v>
      </c>
      <c r="Y47" s="7">
        <f t="shared" ref="Y47" si="117">Y$30*Y48</f>
        <v>31950.45</v>
      </c>
      <c r="Z47" s="7">
        <f t="shared" ref="Z47" si="118">Z$30*Z48</f>
        <v>33339.599999999999</v>
      </c>
      <c r="AA47" s="7">
        <f t="shared" ref="AA47" si="119">AA$30*AA48</f>
        <v>35076.037499999999</v>
      </c>
      <c r="AC47" s="7">
        <f>SUM(X47:AA47)</f>
        <v>124849.85625000001</v>
      </c>
      <c r="AE47" s="7">
        <f>AE$30*AE48</f>
        <v>38653.098749999997</v>
      </c>
      <c r="AF47" s="7">
        <f t="shared" ref="AF47" si="120">AF$30*AF48</f>
        <v>40476.358124999999</v>
      </c>
      <c r="AG47" s="7">
        <f t="shared" ref="AG47" si="121">AG$30*AG48</f>
        <v>42299.6175</v>
      </c>
      <c r="AH47" s="7">
        <f t="shared" ref="AH47" si="122">AH$30*AH48</f>
        <v>44122.876875000002</v>
      </c>
      <c r="AJ47" s="7">
        <f>SUM(AE47:AH47)</f>
        <v>165551.95124999998</v>
      </c>
    </row>
    <row r="48" spans="2:36" x14ac:dyDescent="0.2">
      <c r="B48" s="32" t="s">
        <v>57</v>
      </c>
      <c r="C48" s="111">
        <v>0</v>
      </c>
      <c r="D48" s="111">
        <v>0</v>
      </c>
      <c r="E48" s="111">
        <v>0</v>
      </c>
      <c r="F48" s="111">
        <v>0</v>
      </c>
      <c r="G48" s="112"/>
      <c r="H48" s="113">
        <f>H47/H$30</f>
        <v>0</v>
      </c>
      <c r="I48" s="112"/>
      <c r="J48" s="111">
        <v>0</v>
      </c>
      <c r="K48" s="111">
        <v>0</v>
      </c>
      <c r="L48" s="111">
        <v>0</v>
      </c>
      <c r="M48" s="111">
        <v>0</v>
      </c>
      <c r="N48" s="112"/>
      <c r="O48" s="113">
        <f>O47/O$30</f>
        <v>0</v>
      </c>
      <c r="P48" s="112"/>
      <c r="Q48" s="111">
        <v>3.0000000000000001E-3</v>
      </c>
      <c r="R48" s="111">
        <v>3.0000000000000001E-3</v>
      </c>
      <c r="S48" s="111">
        <v>3.0000000000000001E-3</v>
      </c>
      <c r="T48" s="111">
        <v>3.0000000000000001E-3</v>
      </c>
      <c r="U48" s="112"/>
      <c r="V48" s="113">
        <f>V47/V$30</f>
        <v>3.0000000000000001E-3</v>
      </c>
      <c r="W48" s="112"/>
      <c r="X48" s="111">
        <v>3.0000000000000001E-3</v>
      </c>
      <c r="Y48" s="111">
        <v>3.0000000000000001E-3</v>
      </c>
      <c r="Z48" s="111">
        <v>3.0000000000000001E-3</v>
      </c>
      <c r="AA48" s="111">
        <v>3.0000000000000001E-3</v>
      </c>
      <c r="AB48" s="112"/>
      <c r="AC48" s="113">
        <f>AC47/AC$30</f>
        <v>3.0000000000000005E-3</v>
      </c>
      <c r="AD48" s="112"/>
      <c r="AE48" s="111">
        <v>3.0000000000000001E-3</v>
      </c>
      <c r="AF48" s="111">
        <v>3.0000000000000001E-3</v>
      </c>
      <c r="AG48" s="111">
        <v>3.0000000000000001E-3</v>
      </c>
      <c r="AH48" s="111">
        <v>3.0000000000000001E-3</v>
      </c>
      <c r="AI48" s="112"/>
      <c r="AJ48" s="113">
        <f>AJ47/AJ$30</f>
        <v>2.9999999999999996E-3</v>
      </c>
    </row>
    <row r="49" spans="2:36" x14ac:dyDescent="0.2">
      <c r="B49" s="31" t="s">
        <v>61</v>
      </c>
      <c r="C49" s="7">
        <f>C$30*C50</f>
        <v>10500</v>
      </c>
      <c r="D49" s="7">
        <f t="shared" ref="D49" si="123">D$30*D50</f>
        <v>10500</v>
      </c>
      <c r="E49" s="7">
        <f t="shared" ref="E49" si="124">E$30*E50</f>
        <v>14000</v>
      </c>
      <c r="F49" s="7">
        <f t="shared" ref="F49" si="125">F$30*F50</f>
        <v>14000</v>
      </c>
      <c r="H49" s="7">
        <f>SUM(C49:F49)</f>
        <v>49000</v>
      </c>
      <c r="J49" s="7">
        <f>J$30*J50</f>
        <v>38850</v>
      </c>
      <c r="K49" s="7">
        <f t="shared" ref="K49" si="126">K$30*K50</f>
        <v>48300</v>
      </c>
      <c r="L49" s="7">
        <f t="shared" ref="L49" si="127">L$30*L50</f>
        <v>48825</v>
      </c>
      <c r="M49" s="7">
        <f t="shared" ref="M49" si="128">M$30*M50</f>
        <v>51975</v>
      </c>
      <c r="O49" s="7">
        <f>SUM(J49:M49)</f>
        <v>187950</v>
      </c>
      <c r="Q49" s="7">
        <f>Q$30*Q50</f>
        <v>57881.25</v>
      </c>
      <c r="R49" s="7">
        <f t="shared" ref="R49" si="129">R$30*R50</f>
        <v>60637.5</v>
      </c>
      <c r="S49" s="7">
        <f t="shared" ref="S49" si="130">S$30*S50</f>
        <v>64771.875</v>
      </c>
      <c r="T49" s="7">
        <f t="shared" ref="T49" si="131">T$30*T50</f>
        <v>68906.25</v>
      </c>
      <c r="V49" s="7">
        <f>SUM(Q49:T49)</f>
        <v>252196.875</v>
      </c>
      <c r="X49" s="7">
        <f>X$30*X50</f>
        <v>81612.5625</v>
      </c>
      <c r="Y49" s="7">
        <f t="shared" ref="Y49" si="132">Y$30*Y50</f>
        <v>106501.5</v>
      </c>
      <c r="Z49" s="7">
        <f t="shared" ref="Z49" si="133">Z$30*Z50</f>
        <v>111132</v>
      </c>
      <c r="AA49" s="7">
        <f t="shared" ref="AA49" si="134">AA$30*AA50</f>
        <v>116920.125</v>
      </c>
      <c r="AC49" s="7">
        <f>SUM(X49:AA49)</f>
        <v>416166.1875</v>
      </c>
      <c r="AE49" s="7">
        <f>AE$30*AE50</f>
        <v>128843.66250000001</v>
      </c>
      <c r="AF49" s="7">
        <f t="shared" ref="AF49" si="135">AF$30*AF50</f>
        <v>134921.19375000001</v>
      </c>
      <c r="AG49" s="7">
        <f t="shared" ref="AG49" si="136">AG$30*AG50</f>
        <v>140998.72500000001</v>
      </c>
      <c r="AH49" s="7">
        <f t="shared" ref="AH49" si="137">AH$30*AH50</f>
        <v>147076.25625000001</v>
      </c>
      <c r="AJ49" s="7">
        <f>SUM(AE49:AH49)</f>
        <v>551839.83750000002</v>
      </c>
    </row>
    <row r="50" spans="2:36" x14ac:dyDescent="0.2">
      <c r="B50" s="32" t="s">
        <v>57</v>
      </c>
      <c r="C50" s="111">
        <v>0.03</v>
      </c>
      <c r="D50" s="111">
        <v>0.03</v>
      </c>
      <c r="E50" s="111">
        <v>0.02</v>
      </c>
      <c r="F50" s="111">
        <v>0.02</v>
      </c>
      <c r="G50" s="112"/>
      <c r="H50" s="113">
        <f>H49/H$30</f>
        <v>2.3333333333333334E-2</v>
      </c>
      <c r="I50" s="112"/>
      <c r="J50" s="111">
        <v>0.02</v>
      </c>
      <c r="K50" s="111">
        <v>0.02</v>
      </c>
      <c r="L50" s="111">
        <v>1.4999999999999999E-2</v>
      </c>
      <c r="M50" s="111">
        <v>1.4999999999999999E-2</v>
      </c>
      <c r="N50" s="112"/>
      <c r="O50" s="113">
        <f>O49/O$30</f>
        <v>1.6966824644549763E-2</v>
      </c>
      <c r="P50" s="112"/>
      <c r="Q50" s="111">
        <v>1.2500000000000001E-2</v>
      </c>
      <c r="R50" s="111">
        <v>1.2500000000000001E-2</v>
      </c>
      <c r="S50" s="111">
        <v>1.2500000000000001E-2</v>
      </c>
      <c r="T50" s="111">
        <v>1.2500000000000001E-2</v>
      </c>
      <c r="U50" s="112"/>
      <c r="V50" s="113">
        <f>V49/V$30</f>
        <v>1.2500000000000001E-2</v>
      </c>
      <c r="W50" s="112"/>
      <c r="X50" s="111">
        <v>0.01</v>
      </c>
      <c r="Y50" s="111">
        <v>0.01</v>
      </c>
      <c r="Z50" s="111">
        <v>0.01</v>
      </c>
      <c r="AA50" s="111">
        <v>0.01</v>
      </c>
      <c r="AB50" s="112"/>
      <c r="AC50" s="113">
        <f>AC49/AC$30</f>
        <v>0.01</v>
      </c>
      <c r="AD50" s="112"/>
      <c r="AE50" s="111">
        <v>0.01</v>
      </c>
      <c r="AF50" s="111">
        <v>0.01</v>
      </c>
      <c r="AG50" s="111">
        <v>0.01</v>
      </c>
      <c r="AH50" s="111">
        <v>0.01</v>
      </c>
      <c r="AI50" s="112"/>
      <c r="AJ50" s="113">
        <f>AJ49/AJ$30</f>
        <v>0.01</v>
      </c>
    </row>
    <row r="51" spans="2:36" x14ac:dyDescent="0.2">
      <c r="B51" s="31" t="s">
        <v>62</v>
      </c>
      <c r="C51" s="7">
        <f>C$30*C52</f>
        <v>0</v>
      </c>
      <c r="D51" s="7">
        <f t="shared" ref="D51" si="138">D$30*D52</f>
        <v>0</v>
      </c>
      <c r="E51" s="7">
        <f t="shared" ref="E51" si="139">E$30*E52</f>
        <v>49000.000000000007</v>
      </c>
      <c r="F51" s="7">
        <f t="shared" ref="F51" si="140">F$30*F52</f>
        <v>49000.000000000007</v>
      </c>
      <c r="H51" s="7">
        <f>SUM(C51:F51)</f>
        <v>98000.000000000015</v>
      </c>
      <c r="J51" s="7">
        <f>J$30*J52</f>
        <v>58275</v>
      </c>
      <c r="K51" s="7">
        <f t="shared" ref="K51" si="141">K$30*K52</f>
        <v>72450</v>
      </c>
      <c r="L51" s="7">
        <f t="shared" ref="L51" si="142">L$30*L52</f>
        <v>97650</v>
      </c>
      <c r="M51" s="7">
        <f t="shared" ref="M51" si="143">M$30*M52</f>
        <v>103950</v>
      </c>
      <c r="O51" s="7">
        <f>SUM(J51:M51)</f>
        <v>332325</v>
      </c>
      <c r="Q51" s="7">
        <f>Q$30*Q52</f>
        <v>92610</v>
      </c>
      <c r="R51" s="7">
        <f t="shared" ref="R51" si="144">R$30*R52</f>
        <v>97020</v>
      </c>
      <c r="S51" s="7">
        <f t="shared" ref="S51" si="145">S$30*S52</f>
        <v>103635</v>
      </c>
      <c r="T51" s="7">
        <f t="shared" ref="T51" si="146">T$30*T52</f>
        <v>110250</v>
      </c>
      <c r="V51" s="7">
        <f>SUM(Q51:T51)</f>
        <v>403515</v>
      </c>
      <c r="X51" s="7">
        <f>X$30*X52</f>
        <v>122418.84375</v>
      </c>
      <c r="Y51" s="7">
        <f t="shared" ref="Y51" si="147">Y$30*Y52</f>
        <v>159752.25</v>
      </c>
      <c r="Z51" s="7">
        <f t="shared" ref="Z51" si="148">Z$30*Z52</f>
        <v>166698</v>
      </c>
      <c r="AA51" s="7">
        <f t="shared" ref="AA51" si="149">AA$30*AA52</f>
        <v>175380.1875</v>
      </c>
      <c r="AC51" s="7">
        <f>SUM(X51:AA51)</f>
        <v>624249.28125</v>
      </c>
      <c r="AE51" s="7">
        <f>AE$30*AE52</f>
        <v>193265.49374999999</v>
      </c>
      <c r="AF51" s="7">
        <f t="shared" ref="AF51" si="150">AF$30*AF52</f>
        <v>202381.79062499999</v>
      </c>
      <c r="AG51" s="7">
        <f t="shared" ref="AG51" si="151">AG$30*AG52</f>
        <v>140998.72500000001</v>
      </c>
      <c r="AH51" s="7">
        <f t="shared" ref="AH51" si="152">AH$30*AH52</f>
        <v>147076.25625000001</v>
      </c>
      <c r="AJ51" s="7">
        <f>SUM(AE51:AH51)</f>
        <v>683722.265625</v>
      </c>
    </row>
    <row r="52" spans="2:36" x14ac:dyDescent="0.2">
      <c r="B52" s="32" t="s">
        <v>57</v>
      </c>
      <c r="C52" s="111">
        <v>0</v>
      </c>
      <c r="D52" s="111">
        <v>0</v>
      </c>
      <c r="E52" s="111">
        <v>7.0000000000000007E-2</v>
      </c>
      <c r="F52" s="111">
        <v>7.0000000000000007E-2</v>
      </c>
      <c r="G52" s="112"/>
      <c r="H52" s="113">
        <f>H51/H$30</f>
        <v>4.6666666666666676E-2</v>
      </c>
      <c r="I52" s="112"/>
      <c r="J52" s="111">
        <v>0.03</v>
      </c>
      <c r="K52" s="111">
        <v>0.03</v>
      </c>
      <c r="L52" s="111">
        <v>0.03</v>
      </c>
      <c r="M52" s="111">
        <v>0.03</v>
      </c>
      <c r="N52" s="112"/>
      <c r="O52" s="113">
        <f>O51/O$30</f>
        <v>0.03</v>
      </c>
      <c r="P52" s="112"/>
      <c r="Q52" s="111">
        <v>0.02</v>
      </c>
      <c r="R52" s="111">
        <v>0.02</v>
      </c>
      <c r="S52" s="111">
        <v>0.02</v>
      </c>
      <c r="T52" s="111">
        <v>0.02</v>
      </c>
      <c r="U52" s="112"/>
      <c r="V52" s="113">
        <f>V51/V$30</f>
        <v>0.02</v>
      </c>
      <c r="W52" s="112"/>
      <c r="X52" s="111">
        <v>1.4999999999999999E-2</v>
      </c>
      <c r="Y52" s="111">
        <v>1.4999999999999999E-2</v>
      </c>
      <c r="Z52" s="111">
        <v>1.4999999999999999E-2</v>
      </c>
      <c r="AA52" s="111">
        <v>1.4999999999999999E-2</v>
      </c>
      <c r="AB52" s="112"/>
      <c r="AC52" s="113">
        <f>AC51/AC$30</f>
        <v>1.4999999999999999E-2</v>
      </c>
      <c r="AD52" s="112"/>
      <c r="AE52" s="111">
        <v>1.4999999999999999E-2</v>
      </c>
      <c r="AF52" s="111">
        <v>1.4999999999999999E-2</v>
      </c>
      <c r="AG52" s="111">
        <v>0.01</v>
      </c>
      <c r="AH52" s="111">
        <v>0.01</v>
      </c>
      <c r="AI52" s="112"/>
      <c r="AJ52" s="113">
        <f>AJ51/AJ$30</f>
        <v>1.2389867841409691E-2</v>
      </c>
    </row>
    <row r="53" spans="2:36" x14ac:dyDescent="0.2">
      <c r="B53" s="5" t="s">
        <v>67</v>
      </c>
      <c r="C53" s="7">
        <f>C$30*C54</f>
        <v>0</v>
      </c>
      <c r="D53" s="7">
        <f t="shared" ref="D53" si="153">D$30*D54</f>
        <v>0</v>
      </c>
      <c r="E53" s="7">
        <f t="shared" ref="E53" si="154">E$30*E54</f>
        <v>0</v>
      </c>
      <c r="F53" s="7">
        <f t="shared" ref="F53" si="155">F$30*F54</f>
        <v>21000</v>
      </c>
      <c r="H53" s="7">
        <f>SUM(C53:F53)</f>
        <v>21000</v>
      </c>
      <c r="J53" s="7">
        <f>J$30*J54</f>
        <v>58275</v>
      </c>
      <c r="K53" s="7">
        <f t="shared" ref="K53" si="156">K$30*K54</f>
        <v>72450</v>
      </c>
      <c r="L53" s="7">
        <f t="shared" ref="L53" si="157">L$30*L54</f>
        <v>97650</v>
      </c>
      <c r="M53" s="7">
        <f t="shared" ref="M53" si="158">M$30*M54</f>
        <v>103950</v>
      </c>
      <c r="O53" s="7">
        <f>SUM(J53:M53)</f>
        <v>332325</v>
      </c>
      <c r="Q53" s="7">
        <f>Q$30*Q54</f>
        <v>138915</v>
      </c>
      <c r="R53" s="7">
        <f t="shared" ref="R53" si="159">R$30*R54</f>
        <v>145530</v>
      </c>
      <c r="S53" s="7">
        <f t="shared" ref="S53" si="160">S$30*S54</f>
        <v>155452.5</v>
      </c>
      <c r="T53" s="7">
        <f t="shared" ref="T53" si="161">T$30*T54</f>
        <v>165375</v>
      </c>
      <c r="V53" s="7">
        <f>SUM(Q53:T53)</f>
        <v>605272.5</v>
      </c>
      <c r="X53" s="7">
        <f>X$30*X54</f>
        <v>244837.6875</v>
      </c>
      <c r="Y53" s="7">
        <f t="shared" ref="Y53" si="162">Y$30*Y54</f>
        <v>319504.5</v>
      </c>
      <c r="Z53" s="7">
        <f t="shared" ref="Z53" si="163">Z$30*Z54</f>
        <v>333396</v>
      </c>
      <c r="AA53" s="7">
        <f t="shared" ref="AA53" si="164">AA$30*AA54</f>
        <v>350760.375</v>
      </c>
      <c r="AC53" s="7">
        <f>SUM(X53:AA53)</f>
        <v>1248498.5625</v>
      </c>
      <c r="AE53" s="7">
        <f>AE$30*AE54</f>
        <v>386530.98749999999</v>
      </c>
      <c r="AF53" s="7">
        <f t="shared" ref="AF53" si="165">AF$30*AF54</f>
        <v>404763.58124999999</v>
      </c>
      <c r="AG53" s="7">
        <f t="shared" ref="AG53" si="166">AG$30*AG54</f>
        <v>422996.17499999999</v>
      </c>
      <c r="AH53" s="7">
        <f t="shared" ref="AH53" si="167">AH$30*AH54</f>
        <v>441228.76874999999</v>
      </c>
      <c r="AJ53" s="7">
        <f>SUM(AE53:AH53)</f>
        <v>1655519.5125</v>
      </c>
    </row>
    <row r="54" spans="2:36" x14ac:dyDescent="0.2">
      <c r="B54" s="32" t="s">
        <v>57</v>
      </c>
      <c r="C54" s="111">
        <v>0</v>
      </c>
      <c r="D54" s="111">
        <v>0</v>
      </c>
      <c r="E54" s="111">
        <v>0</v>
      </c>
      <c r="F54" s="111">
        <v>0.03</v>
      </c>
      <c r="G54" s="112"/>
      <c r="H54" s="113">
        <f>H53/H$30</f>
        <v>0.01</v>
      </c>
      <c r="I54" s="112"/>
      <c r="J54" s="111">
        <v>0.03</v>
      </c>
      <c r="K54" s="111">
        <v>0.03</v>
      </c>
      <c r="L54" s="111">
        <v>0.03</v>
      </c>
      <c r="M54" s="111">
        <v>0.03</v>
      </c>
      <c r="N54" s="112"/>
      <c r="O54" s="113">
        <f>O53/O$30</f>
        <v>0.03</v>
      </c>
      <c r="P54" s="112"/>
      <c r="Q54" s="111">
        <v>0.03</v>
      </c>
      <c r="R54" s="111">
        <v>0.03</v>
      </c>
      <c r="S54" s="111">
        <v>0.03</v>
      </c>
      <c r="T54" s="111">
        <v>0.03</v>
      </c>
      <c r="U54" s="112"/>
      <c r="V54" s="113">
        <f>V53/V$30</f>
        <v>0.03</v>
      </c>
      <c r="W54" s="112"/>
      <c r="X54" s="111">
        <v>0.03</v>
      </c>
      <c r="Y54" s="111">
        <v>0.03</v>
      </c>
      <c r="Z54" s="111">
        <v>0.03</v>
      </c>
      <c r="AA54" s="111">
        <v>0.03</v>
      </c>
      <c r="AB54" s="112"/>
      <c r="AC54" s="113">
        <f>AC53/AC$30</f>
        <v>0.03</v>
      </c>
      <c r="AD54" s="112"/>
      <c r="AE54" s="111">
        <v>0.03</v>
      </c>
      <c r="AF54" s="111">
        <v>0.03</v>
      </c>
      <c r="AG54" s="111">
        <v>0.03</v>
      </c>
      <c r="AH54" s="111">
        <v>0.03</v>
      </c>
      <c r="AI54" s="112"/>
      <c r="AJ54" s="113">
        <f>AJ53/AJ$30</f>
        <v>0.03</v>
      </c>
    </row>
    <row r="55" spans="2:36" x14ac:dyDescent="0.2">
      <c r="B55" s="5" t="s">
        <v>68</v>
      </c>
      <c r="C55" s="7">
        <f>C$30*C56</f>
        <v>0</v>
      </c>
      <c r="D55" s="7">
        <f t="shared" ref="D55" si="168">D$30*D56</f>
        <v>0</v>
      </c>
      <c r="E55" s="7">
        <f t="shared" ref="E55" si="169">E$30*E56</f>
        <v>0</v>
      </c>
      <c r="F55" s="7">
        <f t="shared" ref="F55" si="170">F$30*F56</f>
        <v>0</v>
      </c>
      <c r="H55" s="7">
        <f>SUM(C55:F55)</f>
        <v>0</v>
      </c>
      <c r="J55" s="7">
        <f>J$30*J56</f>
        <v>9712.5</v>
      </c>
      <c r="K55" s="7">
        <f t="shared" ref="K55" si="171">K$30*K56</f>
        <v>12075</v>
      </c>
      <c r="L55" s="7">
        <f t="shared" ref="L55" si="172">L$30*L56</f>
        <v>16275</v>
      </c>
      <c r="M55" s="7">
        <f t="shared" ref="M55" si="173">M$30*M56</f>
        <v>17325</v>
      </c>
      <c r="O55" s="7">
        <f>SUM(J55:M55)</f>
        <v>55387.5</v>
      </c>
      <c r="Q55" s="7">
        <f>Q$30*Q56</f>
        <v>23152.5</v>
      </c>
      <c r="R55" s="7">
        <f t="shared" ref="R55" si="174">R$30*R56</f>
        <v>24255</v>
      </c>
      <c r="S55" s="7">
        <f t="shared" ref="S55" si="175">S$30*S56</f>
        <v>25908.75</v>
      </c>
      <c r="T55" s="7">
        <f t="shared" ref="T55" si="176">T$30*T56</f>
        <v>27562.5</v>
      </c>
      <c r="V55" s="7">
        <f>SUM(Q55:T55)</f>
        <v>100878.75</v>
      </c>
      <c r="X55" s="7">
        <f>X$30*X56</f>
        <v>40806.28125</v>
      </c>
      <c r="Y55" s="7">
        <f t="shared" ref="Y55" si="177">Y$30*Y56</f>
        <v>53250.75</v>
      </c>
      <c r="Z55" s="7">
        <f t="shared" ref="Z55" si="178">Z$30*Z56</f>
        <v>55566</v>
      </c>
      <c r="AA55" s="7">
        <f t="shared" ref="AA55" si="179">AA$30*AA56</f>
        <v>58460.0625</v>
      </c>
      <c r="AC55" s="7">
        <f>SUM(X55:AA55)</f>
        <v>208083.09375</v>
      </c>
      <c r="AE55" s="7">
        <f>AE$30*AE56</f>
        <v>64421.831250000003</v>
      </c>
      <c r="AF55" s="7">
        <f t="shared" ref="AF55" si="180">AF$30*AF56</f>
        <v>67460.596875000003</v>
      </c>
      <c r="AG55" s="7">
        <f t="shared" ref="AG55" si="181">AG$30*AG56</f>
        <v>70499.362500000003</v>
      </c>
      <c r="AH55" s="7">
        <f t="shared" ref="AH55" si="182">AH$30*AH56</f>
        <v>73538.128125000003</v>
      </c>
      <c r="AJ55" s="7">
        <f>SUM(AE55:AH55)</f>
        <v>275919.91875000001</v>
      </c>
    </row>
    <row r="56" spans="2:36" x14ac:dyDescent="0.2">
      <c r="B56" s="32" t="s">
        <v>57</v>
      </c>
      <c r="C56" s="111">
        <v>0</v>
      </c>
      <c r="D56" s="111">
        <v>0</v>
      </c>
      <c r="E56" s="111">
        <v>0</v>
      </c>
      <c r="F56" s="111">
        <v>0</v>
      </c>
      <c r="G56" s="112"/>
      <c r="H56" s="113">
        <f>H55/H$30</f>
        <v>0</v>
      </c>
      <c r="I56" s="112"/>
      <c r="J56" s="111">
        <v>5.0000000000000001E-3</v>
      </c>
      <c r="K56" s="111">
        <v>5.0000000000000001E-3</v>
      </c>
      <c r="L56" s="111">
        <v>5.0000000000000001E-3</v>
      </c>
      <c r="M56" s="111">
        <v>5.0000000000000001E-3</v>
      </c>
      <c r="N56" s="112"/>
      <c r="O56" s="113">
        <f>O55/O$30</f>
        <v>5.0000000000000001E-3</v>
      </c>
      <c r="P56" s="112"/>
      <c r="Q56" s="111">
        <v>5.0000000000000001E-3</v>
      </c>
      <c r="R56" s="111">
        <v>5.0000000000000001E-3</v>
      </c>
      <c r="S56" s="111">
        <v>5.0000000000000001E-3</v>
      </c>
      <c r="T56" s="111">
        <v>5.0000000000000001E-3</v>
      </c>
      <c r="U56" s="112"/>
      <c r="V56" s="113">
        <f>V55/V$30</f>
        <v>5.0000000000000001E-3</v>
      </c>
      <c r="W56" s="112"/>
      <c r="X56" s="111">
        <v>5.0000000000000001E-3</v>
      </c>
      <c r="Y56" s="111">
        <v>5.0000000000000001E-3</v>
      </c>
      <c r="Z56" s="111">
        <v>5.0000000000000001E-3</v>
      </c>
      <c r="AA56" s="111">
        <v>5.0000000000000001E-3</v>
      </c>
      <c r="AB56" s="112"/>
      <c r="AC56" s="113">
        <f>AC55/AC$30</f>
        <v>5.0000000000000001E-3</v>
      </c>
      <c r="AD56" s="112"/>
      <c r="AE56" s="111">
        <v>5.0000000000000001E-3</v>
      </c>
      <c r="AF56" s="111">
        <v>5.0000000000000001E-3</v>
      </c>
      <c r="AG56" s="111">
        <v>5.0000000000000001E-3</v>
      </c>
      <c r="AH56" s="111">
        <v>5.0000000000000001E-3</v>
      </c>
      <c r="AI56" s="112"/>
      <c r="AJ56" s="113">
        <f>AJ55/AJ$30</f>
        <v>5.0000000000000001E-3</v>
      </c>
    </row>
    <row r="58" spans="2:36" x14ac:dyDescent="0.2">
      <c r="B58" s="8" t="s">
        <v>65</v>
      </c>
      <c r="C58" s="9">
        <f>C41+C43+C45+C47+C49+C51+C53+C55</f>
        <v>87500</v>
      </c>
      <c r="D58" s="9">
        <f t="shared" ref="D58:F58" si="183">D41+D43+D45+D47+D49+D51+D53+D55</f>
        <v>87500</v>
      </c>
      <c r="E58" s="9">
        <f t="shared" si="183"/>
        <v>154000</v>
      </c>
      <c r="F58" s="9">
        <f t="shared" si="183"/>
        <v>175000</v>
      </c>
      <c r="G58" s="8"/>
      <c r="H58" s="9">
        <f>SUM(C58:F58)</f>
        <v>504000</v>
      </c>
      <c r="I58" s="8"/>
      <c r="J58" s="9">
        <f>J41+J43+J45+J47+J49+J51+J53+J55</f>
        <v>514762.5</v>
      </c>
      <c r="K58" s="9">
        <f t="shared" ref="K58:M58" si="184">K41+K43+K45+K47+K49+K51+K53+K55</f>
        <v>603750</v>
      </c>
      <c r="L58" s="9">
        <f t="shared" si="184"/>
        <v>748650</v>
      </c>
      <c r="M58" s="9">
        <f t="shared" si="184"/>
        <v>796950</v>
      </c>
      <c r="N58" s="8"/>
      <c r="O58" s="9">
        <f>SUM(J58:M58)</f>
        <v>2664112.5</v>
      </c>
      <c r="P58" s="8"/>
      <c r="Q58" s="9">
        <f>Q41+Q43+Q45+Q47+Q49+Q51+Q53+Q55</f>
        <v>997872.75</v>
      </c>
      <c r="R58" s="9">
        <f t="shared" ref="R58:T58" si="185">R41+R43+R45+R47+R49+R51+R53+R55</f>
        <v>1045390.5</v>
      </c>
      <c r="S58" s="9">
        <f t="shared" si="185"/>
        <v>1116667.125</v>
      </c>
      <c r="T58" s="9">
        <f t="shared" si="185"/>
        <v>1187943.75</v>
      </c>
      <c r="U58" s="8"/>
      <c r="V58" s="9">
        <f>SUM(Q58:T58)</f>
        <v>4347874.125</v>
      </c>
      <c r="W58" s="8"/>
      <c r="X58" s="9">
        <f>X41+X43+X45+X47+X49+X51+X53+X55</f>
        <v>1534316.175</v>
      </c>
      <c r="Y58" s="9">
        <f t="shared" ref="Y58:AA58" si="186">Y41+Y43+Y45+Y47+Y49+Y51+Y53+Y55</f>
        <v>1895726.7</v>
      </c>
      <c r="Z58" s="9">
        <f t="shared" si="186"/>
        <v>1978149.6</v>
      </c>
      <c r="AA58" s="9">
        <f t="shared" si="186"/>
        <v>2081178.2250000001</v>
      </c>
      <c r="AB58" s="8"/>
      <c r="AC58" s="9">
        <f>SUM(X58:AA58)</f>
        <v>7489370.6999999993</v>
      </c>
      <c r="AD58" s="8"/>
      <c r="AE58" s="9">
        <f>AE41+AE43+AE45+AE47+AE49+AE51+AE53+AE55</f>
        <v>2228995.3612499996</v>
      </c>
      <c r="AF58" s="9">
        <f t="shared" ref="AF58:AH58" si="187">AF41+AF43+AF45+AF47+AF49+AF51+AF53+AF55</f>
        <v>2334136.651875</v>
      </c>
      <c r="AG58" s="9">
        <f t="shared" si="187"/>
        <v>2368778.58</v>
      </c>
      <c r="AH58" s="9">
        <f t="shared" si="187"/>
        <v>2470881.105</v>
      </c>
      <c r="AI58" s="8"/>
      <c r="AJ58" s="9">
        <f>SUM(AE58:AH58)</f>
        <v>9402791.6981249992</v>
      </c>
    </row>
    <row r="59" spans="2:36" x14ac:dyDescent="0.2">
      <c r="B59" s="27" t="s">
        <v>57</v>
      </c>
      <c r="C59" s="28">
        <f>IFERROR(C58/C$30,0%)</f>
        <v>0.25</v>
      </c>
      <c r="D59" s="28">
        <f t="shared" ref="D59:H59" si="188">IFERROR(D58/D$30,0%)</f>
        <v>0.25</v>
      </c>
      <c r="E59" s="28">
        <f t="shared" si="188"/>
        <v>0.22</v>
      </c>
      <c r="F59" s="28">
        <f t="shared" si="188"/>
        <v>0.25</v>
      </c>
      <c r="H59" s="28">
        <f t="shared" si="188"/>
        <v>0.24</v>
      </c>
      <c r="J59" s="28">
        <f>IFERROR(J58/J$30,0%)</f>
        <v>0.26500000000000001</v>
      </c>
      <c r="K59" s="28">
        <f t="shared" ref="K59" si="189">IFERROR(K58/K$30,0%)</f>
        <v>0.25</v>
      </c>
      <c r="L59" s="28">
        <f t="shared" ref="L59" si="190">IFERROR(L58/L$30,0%)</f>
        <v>0.23</v>
      </c>
      <c r="M59" s="28">
        <f t="shared" ref="M59" si="191">IFERROR(M58/M$30,0%)</f>
        <v>0.23</v>
      </c>
      <c r="O59" s="28">
        <f t="shared" ref="O59" si="192">IFERROR(O58/O$30,0%)</f>
        <v>0.24049763033175356</v>
      </c>
      <c r="Q59" s="28">
        <f>IFERROR(Q58/Q$30,0%)</f>
        <v>0.2155</v>
      </c>
      <c r="R59" s="28">
        <f t="shared" ref="R59" si="193">IFERROR(R58/R$30,0%)</f>
        <v>0.2155</v>
      </c>
      <c r="S59" s="28">
        <f t="shared" ref="S59" si="194">IFERROR(S58/S$30,0%)</f>
        <v>0.2155</v>
      </c>
      <c r="T59" s="28">
        <f t="shared" ref="T59" si="195">IFERROR(T58/T$30,0%)</f>
        <v>0.2155</v>
      </c>
      <c r="V59" s="28">
        <f t="shared" ref="V59" si="196">IFERROR(V58/V$30,0%)</f>
        <v>0.2155</v>
      </c>
      <c r="X59" s="28">
        <f>IFERROR(X58/X$30,0%)</f>
        <v>0.188</v>
      </c>
      <c r="Y59" s="28">
        <f t="shared" ref="Y59" si="197">IFERROR(Y58/Y$30,0%)</f>
        <v>0.17799999999999999</v>
      </c>
      <c r="Z59" s="28">
        <f t="shared" ref="Z59" si="198">IFERROR(Z58/Z$30,0%)</f>
        <v>0.17800000000000002</v>
      </c>
      <c r="AA59" s="28">
        <f t="shared" ref="AA59" si="199">IFERROR(AA58/AA$30,0%)</f>
        <v>0.17800000000000002</v>
      </c>
      <c r="AC59" s="28">
        <f t="shared" ref="AC59" si="200">IFERROR(AC58/AC$30,0%)</f>
        <v>0.17996105702364393</v>
      </c>
      <c r="AE59" s="28">
        <f>IFERROR(AE58/AE$30,0%)</f>
        <v>0.17299999999999996</v>
      </c>
      <c r="AF59" s="28">
        <f t="shared" ref="AF59" si="201">IFERROR(AF58/AF$30,0%)</f>
        <v>0.17299999999999999</v>
      </c>
      <c r="AG59" s="28">
        <f t="shared" ref="AG59" si="202">IFERROR(AG58/AG$30,0%)</f>
        <v>0.16800000000000001</v>
      </c>
      <c r="AH59" s="28">
        <f t="shared" ref="AH59" si="203">IFERROR(AH58/AH$30,0%)</f>
        <v>0.16800000000000001</v>
      </c>
      <c r="AJ59" s="28">
        <f t="shared" ref="AJ59" si="204">IFERROR(AJ58/AJ$30,0%)</f>
        <v>0.17038986784140966</v>
      </c>
    </row>
    <row r="60" spans="2:36" ht="16" thickBot="1" x14ac:dyDescent="0.25"/>
    <row r="61" spans="2:36" ht="16" thickBot="1" x14ac:dyDescent="0.25">
      <c r="B61" s="10" t="s">
        <v>64</v>
      </c>
      <c r="C61" s="11">
        <f>C37-C58</f>
        <v>3500</v>
      </c>
      <c r="D61" s="11">
        <f t="shared" ref="D61:F61" si="205">D37-D58</f>
        <v>3500</v>
      </c>
      <c r="E61" s="11">
        <f t="shared" si="205"/>
        <v>28000</v>
      </c>
      <c r="F61" s="12">
        <f t="shared" si="205"/>
        <v>7000</v>
      </c>
      <c r="H61" s="13">
        <f>SUM(C61:F61)</f>
        <v>42000</v>
      </c>
      <c r="J61" s="14">
        <f>J37-J58</f>
        <v>197487.5</v>
      </c>
      <c r="K61" s="11">
        <f t="shared" ref="K61:M61" si="206">K37-K58</f>
        <v>581000</v>
      </c>
      <c r="L61" s="11">
        <f t="shared" si="206"/>
        <v>1276100</v>
      </c>
      <c r="M61" s="12">
        <f t="shared" si="206"/>
        <v>1437800</v>
      </c>
      <c r="O61" s="13">
        <f>SUM(J61:M61)</f>
        <v>3492387.5</v>
      </c>
      <c r="Q61" s="14">
        <f>Q37-Q58</f>
        <v>2463889.75</v>
      </c>
      <c r="R61" s="11">
        <f t="shared" ref="R61:T61" si="207">R37-R58</f>
        <v>2636872</v>
      </c>
      <c r="S61" s="11">
        <f t="shared" si="207"/>
        <v>2896345.375</v>
      </c>
      <c r="T61" s="12">
        <f t="shared" si="207"/>
        <v>3155818.75</v>
      </c>
      <c r="V61" s="13">
        <f>SUM(Q61:T61)</f>
        <v>11152925.875</v>
      </c>
      <c r="X61" s="14">
        <f>X37-X58</f>
        <v>4406338.8250000002</v>
      </c>
      <c r="Y61" s="11">
        <f t="shared" ref="Y61:AA61" si="208">Y37-Y58</f>
        <v>6533822.0499999998</v>
      </c>
      <c r="Z61" s="11">
        <f t="shared" si="208"/>
        <v>6914449.1500000004</v>
      </c>
      <c r="AA61" s="12">
        <f t="shared" si="208"/>
        <v>7390233.0250000004</v>
      </c>
      <c r="AC61" s="13">
        <f>SUM(X61:AA61)</f>
        <v>25244843.049999997</v>
      </c>
      <c r="AE61" s="14">
        <f>AE37-AE58</f>
        <v>8545799.7012499999</v>
      </c>
      <c r="AF61" s="11">
        <f t="shared" ref="AF61:AH61" si="209">AF37-AF58</f>
        <v>9048411.5356249996</v>
      </c>
      <c r="AG61" s="11">
        <f t="shared" si="209"/>
        <v>9621522.7324999999</v>
      </c>
      <c r="AH61" s="12">
        <f t="shared" si="209"/>
        <v>10127173.3325</v>
      </c>
      <c r="AJ61" s="13">
        <f>SUM(AE61:AH61)</f>
        <v>37342907.301874995</v>
      </c>
    </row>
    <row r="62" spans="2:36" x14ac:dyDescent="0.2">
      <c r="B62" s="27" t="s">
        <v>66</v>
      </c>
      <c r="C62" s="28">
        <f>IFERROR(C61/C$30,0%)</f>
        <v>0.01</v>
      </c>
      <c r="D62" s="28">
        <f t="shared" ref="D62" si="210">IFERROR(D61/D$30,0%)</f>
        <v>0.01</v>
      </c>
      <c r="E62" s="28">
        <f t="shared" ref="E62" si="211">IFERROR(E61/E$30,0%)</f>
        <v>0.04</v>
      </c>
      <c r="F62" s="28">
        <f t="shared" ref="F62" si="212">IFERROR(F61/F$30,0%)</f>
        <v>0.01</v>
      </c>
      <c r="H62" s="28">
        <f t="shared" ref="H62" si="213">IFERROR(H61/H$30,0%)</f>
        <v>0.02</v>
      </c>
      <c r="J62" s="28">
        <f>IFERROR(J61/J$30,0%)</f>
        <v>0.10166666666666667</v>
      </c>
      <c r="K62" s="28">
        <f t="shared" ref="K62" si="214">IFERROR(K61/K$30,0%)</f>
        <v>0.24057971014492754</v>
      </c>
      <c r="L62" s="28">
        <f t="shared" ref="L62" si="215">IFERROR(L61/L$30,0%)</f>
        <v>0.39204301075268816</v>
      </c>
      <c r="M62" s="28">
        <f t="shared" ref="M62" si="216">IFERROR(M61/M$30,0%)</f>
        <v>0.41494949494949496</v>
      </c>
      <c r="O62" s="28">
        <f t="shared" ref="O62" si="217">IFERROR(O61/O$30,0%)</f>
        <v>0.31526856240126383</v>
      </c>
      <c r="Q62" s="28">
        <f>IFERROR(Q61/Q$30,0%)</f>
        <v>0.53210015117157972</v>
      </c>
      <c r="R62" s="28">
        <f t="shared" ref="R62" si="218">IFERROR(R61/R$30,0%)</f>
        <v>0.5435728715728716</v>
      </c>
      <c r="S62" s="28">
        <f t="shared" ref="S62" si="219">IFERROR(S61/S$30,0%)</f>
        <v>0.55895119891928402</v>
      </c>
      <c r="T62" s="28">
        <f t="shared" ref="T62" si="220">IFERROR(T61/T$30,0%)</f>
        <v>0.57248412698412698</v>
      </c>
      <c r="V62" s="28">
        <f t="shared" ref="V62" si="221">IFERROR(V61/V$30,0%)</f>
        <v>0.5527886633706306</v>
      </c>
      <c r="X62" s="28">
        <f>IFERROR(X61/X$30,0%)</f>
        <v>0.53990938282326328</v>
      </c>
      <c r="Y62" s="28">
        <f t="shared" ref="Y62" si="222">IFERROR(Y61/Y$30,0%)</f>
        <v>0.6134957770547832</v>
      </c>
      <c r="Z62" s="28">
        <f t="shared" ref="Z62" si="223">IFERROR(Z61/Z$30,0%)</f>
        <v>0.622183453010834</v>
      </c>
      <c r="AA62" s="28">
        <f t="shared" ref="AA62" si="224">IFERROR(AA61/AA$30,0%)</f>
        <v>0.63207536127762443</v>
      </c>
      <c r="AC62" s="28">
        <f t="shared" ref="AC62" si="225">IFERROR(AC61/AC$30,0%)</f>
        <v>0.60660485662353325</v>
      </c>
      <c r="AE62" s="28">
        <f>IFERROR(AE61/AE$30,0%)</f>
        <v>0.66326892106548119</v>
      </c>
      <c r="AF62" s="28">
        <f t="shared" ref="AF62" si="226">IFERROR(AF61/AF$30,0%)</f>
        <v>0.6706441948913604</v>
      </c>
      <c r="AG62" s="28">
        <f t="shared" ref="AG62" si="227">IFERROR(AG61/AG$30,0%)</f>
        <v>0.68238366924949145</v>
      </c>
      <c r="AH62" s="28">
        <f t="shared" ref="AH62" si="228">IFERROR(AH61/AH$30,0%)</f>
        <v>0.68856616225571077</v>
      </c>
      <c r="AJ62" s="28">
        <f t="shared" ref="AJ62" si="229">IFERROR(AJ61/AJ$30,0%)</f>
        <v>0.67669828751489869</v>
      </c>
    </row>
    <row r="64" spans="2:36" x14ac:dyDescent="0.2">
      <c r="B64" s="5" t="s">
        <v>71</v>
      </c>
      <c r="C64" s="7">
        <f>'Fixed Asset Schedule'!C15+'Fixed Asset Schedule'!C22</f>
        <v>0</v>
      </c>
      <c r="D64" s="7">
        <f>'Fixed Asset Schedule'!D15+'Fixed Asset Schedule'!D22</f>
        <v>0</v>
      </c>
      <c r="E64" s="7">
        <f>'Fixed Asset Schedule'!E15+'Fixed Asset Schedule'!E22</f>
        <v>0</v>
      </c>
      <c r="F64" s="7">
        <f>'Fixed Asset Schedule'!F15+'Fixed Asset Schedule'!F22</f>
        <v>0</v>
      </c>
      <c r="H64" s="7">
        <f>SUM(C64:F64)</f>
        <v>0</v>
      </c>
      <c r="J64" s="7">
        <f>'Fixed Asset Schedule'!J15+'Fixed Asset Schedule'!J22</f>
        <v>30756.25</v>
      </c>
      <c r="K64" s="7">
        <f>'Fixed Asset Schedule'!K15+'Fixed Asset Schedule'!K22</f>
        <v>60743.59375</v>
      </c>
      <c r="L64" s="7">
        <f>'Fixed Asset Schedule'!L15+'Fixed Asset Schedule'!L22</f>
        <v>89981.25390625</v>
      </c>
      <c r="M64" s="7">
        <f>'Fixed Asset Schedule'!M15+'Fixed Asset Schedule'!M22</f>
        <v>149244.22255859376</v>
      </c>
      <c r="O64" s="7">
        <f>SUM(J64:M64)</f>
        <v>330725.32021484373</v>
      </c>
      <c r="Q64" s="7">
        <f>'Fixed Asset Schedule'!Q15+'Fixed Asset Schedule'!Q22</f>
        <v>203949.99199462892</v>
      </c>
      <c r="R64" s="7">
        <f>'Fixed Asset Schedule'!R15+'Fixed Asset Schedule'!R22</f>
        <v>257288.11719476321</v>
      </c>
      <c r="S64" s="7">
        <f>'Fixed Asset Schedule'!S15+'Fixed Asset Schedule'!S22</f>
        <v>338511.22676489415</v>
      </c>
      <c r="T64" s="7">
        <f>'Fixed Asset Schedule'!T15+'Fixed Asset Schedule'!T22</f>
        <v>417703.7585957718</v>
      </c>
      <c r="V64" s="7">
        <f>SUM(Q64:T64)</f>
        <v>1217453.094550058</v>
      </c>
      <c r="X64" s="7">
        <f>'Fixed Asset Schedule'!X15+'Fixed Asset Schedule'!X22</f>
        <v>490533.71150587744</v>
      </c>
      <c r="Y64" s="7">
        <f>'Fixed Asset Schedule'!Y15+'Fixed Asset Schedule'!Y22</f>
        <v>589300.43121823051</v>
      </c>
      <c r="Z64" s="7">
        <f>'Fixed Asset Schedule'!Z15+'Fixed Asset Schedule'!Z22</f>
        <v>685597.98293777474</v>
      </c>
      <c r="AA64" s="7">
        <f>'Fixed Asset Schedule'!AA15+'Fixed Asset Schedule'!AA22</f>
        <v>807245.61148933042</v>
      </c>
      <c r="AC64" s="7">
        <f>SUM(X64:AA64)</f>
        <v>2572677.737151213</v>
      </c>
      <c r="AE64" s="7">
        <f>'Fixed Asset Schedule'!AE15+'Fixed Asset Schedule'!AE22</f>
        <v>918912.67042084713</v>
      </c>
      <c r="AF64" s="7">
        <f>'Fixed Asset Schedule'!AF15+'Fixed Asset Schedule'!AF22</f>
        <v>1027788.052879076</v>
      </c>
      <c r="AG64" s="7">
        <f>'Fixed Asset Schedule'!AG15+'Fixed Asset Schedule'!AG22</f>
        <v>1133941.550775849</v>
      </c>
      <c r="AH64" s="7">
        <f>'Fixed Asset Schedule'!AH15+'Fixed Asset Schedule'!AH22</f>
        <v>1237441.211225203</v>
      </c>
      <c r="AJ64" s="7">
        <f>SUM(AE64:AH64)</f>
        <v>4318083.4853009749</v>
      </c>
    </row>
    <row r="66" spans="2:36" x14ac:dyDescent="0.2">
      <c r="B66" s="23" t="s">
        <v>74</v>
      </c>
      <c r="C66" s="24">
        <f>C61-C64</f>
        <v>3500</v>
      </c>
      <c r="D66" s="24">
        <f t="shared" ref="D66:F66" si="230">D61-D64</f>
        <v>3500</v>
      </c>
      <c r="E66" s="24">
        <f t="shared" si="230"/>
        <v>28000</v>
      </c>
      <c r="F66" s="25">
        <f t="shared" si="230"/>
        <v>7000</v>
      </c>
      <c r="H66" s="26">
        <f t="shared" ref="H66" si="231">H61-H64</f>
        <v>42000</v>
      </c>
      <c r="J66" s="29">
        <f>J61-J64</f>
        <v>166731.25</v>
      </c>
      <c r="K66" s="24">
        <f t="shared" ref="K66:M66" si="232">K61-K64</f>
        <v>520256.40625</v>
      </c>
      <c r="L66" s="24">
        <f t="shared" si="232"/>
        <v>1186118.74609375</v>
      </c>
      <c r="M66" s="25">
        <f t="shared" si="232"/>
        <v>1288555.7774414062</v>
      </c>
      <c r="O66" s="26">
        <f t="shared" ref="O66" si="233">O61-O64</f>
        <v>3161662.1797851562</v>
      </c>
      <c r="Q66" s="29">
        <f>Q61-Q64</f>
        <v>2259939.7580053713</v>
      </c>
      <c r="R66" s="24">
        <f t="shared" ref="R66:T66" si="234">R61-R64</f>
        <v>2379583.8828052366</v>
      </c>
      <c r="S66" s="24">
        <f t="shared" si="234"/>
        <v>2557834.1482351059</v>
      </c>
      <c r="T66" s="25">
        <f t="shared" si="234"/>
        <v>2738114.9914042284</v>
      </c>
      <c r="V66" s="26">
        <f t="shared" ref="V66" si="235">V61-V64</f>
        <v>9935472.7804499418</v>
      </c>
      <c r="X66" s="29">
        <f>X61-X64</f>
        <v>3915805.1134941229</v>
      </c>
      <c r="Y66" s="24">
        <f t="shared" ref="Y66:AA66" si="236">Y61-Y64</f>
        <v>5944521.6187817696</v>
      </c>
      <c r="Z66" s="24">
        <f t="shared" si="236"/>
        <v>6228851.1670622258</v>
      </c>
      <c r="AA66" s="25">
        <f t="shared" si="236"/>
        <v>6582987.41351067</v>
      </c>
      <c r="AC66" s="26">
        <f t="shared" ref="AC66" si="237">AC61-AC64</f>
        <v>22672165.312848784</v>
      </c>
      <c r="AE66" s="29">
        <f>AE61-AE64</f>
        <v>7626887.030829153</v>
      </c>
      <c r="AF66" s="24">
        <f t="shared" ref="AF66:AH66" si="238">AF61-AF64</f>
        <v>8020623.4827459231</v>
      </c>
      <c r="AG66" s="24">
        <f t="shared" si="238"/>
        <v>8487581.1817241516</v>
      </c>
      <c r="AH66" s="25">
        <f t="shared" si="238"/>
        <v>8889732.1212747972</v>
      </c>
      <c r="AJ66" s="26">
        <f t="shared" ref="AJ66" si="239">AJ61-AJ64</f>
        <v>33024823.816574022</v>
      </c>
    </row>
    <row r="67" spans="2:36" x14ac:dyDescent="0.2">
      <c r="B67" s="27" t="s">
        <v>75</v>
      </c>
      <c r="C67" s="28">
        <f>IFERROR(C66/C$30,0%)</f>
        <v>0.01</v>
      </c>
      <c r="D67" s="28">
        <f t="shared" ref="D67" si="240">IFERROR(D66/D$30,0%)</f>
        <v>0.01</v>
      </c>
      <c r="E67" s="28">
        <f t="shared" ref="E67" si="241">IFERROR(E66/E$30,0%)</f>
        <v>0.04</v>
      </c>
      <c r="F67" s="28">
        <f t="shared" ref="F67:H67" si="242">IFERROR(F66/F$30,0%)</f>
        <v>0.01</v>
      </c>
      <c r="H67" s="28">
        <f t="shared" si="242"/>
        <v>0.02</v>
      </c>
      <c r="J67" s="28">
        <f>IFERROR(J66/J$30,0%)</f>
        <v>8.5833333333333331E-2</v>
      </c>
      <c r="K67" s="28">
        <f t="shared" ref="K67" si="243">IFERROR(K66/K$30,0%)</f>
        <v>0.21542708333333332</v>
      </c>
      <c r="L67" s="28">
        <f t="shared" ref="L67" si="244">IFERROR(L66/L$30,0%)</f>
        <v>0.36439900033602152</v>
      </c>
      <c r="M67" s="28">
        <f t="shared" ref="M67" si="245">IFERROR(M66/M$30,0%)</f>
        <v>0.37187756924715909</v>
      </c>
      <c r="O67" s="28">
        <f t="shared" ref="O67" si="246">IFERROR(O66/O$30,0%)</f>
        <v>0.28541297041617297</v>
      </c>
      <c r="Q67" s="28">
        <f>IFERROR(Q66/Q$30,0%)</f>
        <v>0.48805523334529127</v>
      </c>
      <c r="R67" s="28">
        <f t="shared" ref="R67" si="247">IFERROR(R66/R$30,0%)</f>
        <v>0.49053471094727613</v>
      </c>
      <c r="S67" s="28">
        <f t="shared" ref="S67" si="248">IFERROR(S66/S$30,0%)</f>
        <v>0.49362361137359112</v>
      </c>
      <c r="T67" s="28">
        <f t="shared" ref="T67" si="249">IFERROR(T66/T$30,0%)</f>
        <v>0.49671020252230902</v>
      </c>
      <c r="V67" s="28">
        <f t="shared" ref="V67" si="250">IFERROR(V66/V$30,0%)</f>
        <v>0.49244626744730391</v>
      </c>
      <c r="X67" s="28">
        <f>IFERROR(X66/X$30,0%)</f>
        <v>0.47980421071745211</v>
      </c>
      <c r="Y67" s="28">
        <f t="shared" ref="Y67" si="251">IFERROR(Y66/Y$30,0%)</f>
        <v>0.55816318256379205</v>
      </c>
      <c r="Z67" s="28">
        <f t="shared" ref="Z67" si="252">IFERROR(Z66/Z$30,0%)</f>
        <v>0.5604912326838557</v>
      </c>
      <c r="AA67" s="28">
        <f t="shared" ref="AA67" si="253">IFERROR(AA66/AA$30,0%)</f>
        <v>0.56303287509405842</v>
      </c>
      <c r="AC67" s="28">
        <f t="shared" ref="AC67" si="254">IFERROR(AC66/AC$30,0%)</f>
        <v>0.54478633761780049</v>
      </c>
      <c r="AE67" s="28">
        <f>IFERROR(AE66/AE$30,0%)</f>
        <v>0.59194894671898612</v>
      </c>
      <c r="AF67" s="28">
        <f t="shared" ref="AF67" si="255">IFERROR(AF66/AF$30,0%)</f>
        <v>0.59446727825486079</v>
      </c>
      <c r="AG67" s="28">
        <f t="shared" ref="AG67" si="256">IFERROR(AG66/AG$30,0%)</f>
        <v>0.60196155544840224</v>
      </c>
      <c r="AH67" s="28">
        <f t="shared" ref="AH67" si="257">IFERROR(AH66/AH$30,0%)</f>
        <v>0.60443013358757536</v>
      </c>
      <c r="AJ67" s="28">
        <f t="shared" ref="AJ67" si="258">IFERROR(AJ66/AJ$30,0%)</f>
        <v>0.598449433556417</v>
      </c>
    </row>
    <row r="69" spans="2:36" x14ac:dyDescent="0.2">
      <c r="B69" s="5" t="s">
        <v>84</v>
      </c>
      <c r="C69" s="7"/>
      <c r="D69" s="7"/>
      <c r="E69" s="7"/>
      <c r="F69" s="7"/>
      <c r="H69" s="7"/>
      <c r="J69" s="7"/>
      <c r="K69" s="7"/>
      <c r="L69" s="7"/>
      <c r="M69" s="7"/>
      <c r="O69" s="7"/>
      <c r="Q69" s="7"/>
      <c r="R69" s="7"/>
      <c r="S69" s="7"/>
      <c r="T69" s="7"/>
      <c r="V69" s="7"/>
      <c r="X69" s="7"/>
      <c r="Y69" s="7"/>
      <c r="Z69" s="7"/>
      <c r="AA69" s="7"/>
      <c r="AC69" s="7"/>
      <c r="AE69" s="7"/>
      <c r="AF69" s="7"/>
      <c r="AG69" s="7"/>
      <c r="AH69" s="7"/>
      <c r="AJ69" s="7"/>
    </row>
    <row r="70" spans="2:36" x14ac:dyDescent="0.2">
      <c r="B70" s="5" t="s">
        <v>83</v>
      </c>
      <c r="C70" s="7">
        <f>'Capital Deployment &amp; Debt Repay'!C21</f>
        <v>0</v>
      </c>
      <c r="D70" s="7">
        <f>'Capital Deployment &amp; Debt Repay'!D21</f>
        <v>0</v>
      </c>
      <c r="E70" s="7">
        <f>'Capital Deployment &amp; Debt Repay'!E21</f>
        <v>0</v>
      </c>
      <c r="F70" s="7">
        <f>'Capital Deployment &amp; Debt Repay'!F21</f>
        <v>0</v>
      </c>
      <c r="H70" s="7">
        <f>SUM(C70:F70)</f>
        <v>0</v>
      </c>
      <c r="J70" s="7">
        <f>'Capital Deployment &amp; Debt Repay'!J21</f>
        <v>18151.140271699453</v>
      </c>
      <c r="K70" s="7">
        <f>'Capital Deployment &amp; Debt Repay'!K21</f>
        <v>36004.633093641307</v>
      </c>
      <c r="L70" s="7">
        <f>'Capital Deployment &amp; Debt Repay'!L21</f>
        <v>53565.359371543964</v>
      </c>
      <c r="M70" s="7">
        <f>'Capital Deployment &amp; Debt Repay'!M21</f>
        <v>88989.260244374862</v>
      </c>
      <c r="O70" s="7">
        <f>SUM(J70:M70)</f>
        <v>196710.39298125959</v>
      </c>
      <c r="Q70" s="7">
        <f>'Capital Deployment &amp; Debt Repay'!Q21</f>
        <v>122017.15610481749</v>
      </c>
      <c r="R70" s="7">
        <f>'Capital Deployment &amp; Debt Repay'!R21</f>
        <v>154503.45133705891</v>
      </c>
      <c r="S70" s="7">
        <f>'Capital Deployment &amp; Debt Repay'!S21</f>
        <v>203700.61051704595</v>
      </c>
      <c r="T70" s="7">
        <f>'Capital Deployment &amp; Debt Repay'!T21</f>
        <v>252091.0209889051</v>
      </c>
      <c r="V70" s="7">
        <f>SUM(Q70:T70)</f>
        <v>732312.23894782749</v>
      </c>
      <c r="X70" s="7">
        <f>'Capital Deployment &amp; Debt Repay'!X21</f>
        <v>297101.37455375859</v>
      </c>
      <c r="Y70" s="7">
        <f>'Capital Deployment &amp; Debt Repay'!Y21</f>
        <v>357755.03990938544</v>
      </c>
      <c r="Z70" s="7">
        <f>'Capital Deployment &amp; Debt Repay'!Z21</f>
        <v>417414.08958019508</v>
      </c>
      <c r="AA70" s="7">
        <f>'Capital Deployment &amp; Debt Repay'!AA21</f>
        <v>492476.23764620372</v>
      </c>
      <c r="AC70" s="7">
        <f>SUM(X70:AA70)</f>
        <v>1564746.7416895428</v>
      </c>
      <c r="AE70" s="7">
        <f>'Capital Deployment &amp; Debt Repay'!AE21</f>
        <v>562212.14469413203</v>
      </c>
      <c r="AF70" s="7">
        <f>'Capital Deployment &amp; Debt Repay'!AF21</f>
        <v>630804.50293032499</v>
      </c>
      <c r="AG70" s="7">
        <f>'Capital Deployment &amp; Debt Repay'!AG21</f>
        <v>698272.06458645407</v>
      </c>
      <c r="AH70" s="7">
        <f>'Capital Deployment &amp; Debt Repay'!AH21</f>
        <v>764633.27438987792</v>
      </c>
      <c r="AJ70" s="7">
        <f>SUM(AE70:AH70)</f>
        <v>2655921.9866007892</v>
      </c>
    </row>
    <row r="72" spans="2:36" x14ac:dyDescent="0.2">
      <c r="B72" s="23" t="s">
        <v>85</v>
      </c>
      <c r="C72" s="24">
        <f>C66+C69-C70</f>
        <v>3500</v>
      </c>
      <c r="D72" s="24">
        <f t="shared" ref="D72:H72" si="259">D66+D69-D70</f>
        <v>3500</v>
      </c>
      <c r="E72" s="24">
        <f t="shared" si="259"/>
        <v>28000</v>
      </c>
      <c r="F72" s="25">
        <f t="shared" si="259"/>
        <v>7000</v>
      </c>
      <c r="H72" s="26">
        <f t="shared" si="259"/>
        <v>42000</v>
      </c>
      <c r="J72" s="29">
        <f>J66+J69-J70</f>
        <v>148580.10972830054</v>
      </c>
      <c r="K72" s="24">
        <f t="shared" ref="K72:O72" si="260">K66+K69-K70</f>
        <v>484251.77315635869</v>
      </c>
      <c r="L72" s="24">
        <f t="shared" si="260"/>
        <v>1132553.3867222061</v>
      </c>
      <c r="M72" s="25">
        <f t="shared" si="260"/>
        <v>1199566.5171970313</v>
      </c>
      <c r="O72" s="26">
        <f t="shared" si="260"/>
        <v>2964951.7868038965</v>
      </c>
      <c r="Q72" s="29">
        <f>Q66+Q69-Q70</f>
        <v>2137922.6019005538</v>
      </c>
      <c r="R72" s="24">
        <f t="shared" ref="R72:V72" si="261">R66+R69-R70</f>
        <v>2225080.4314681776</v>
      </c>
      <c r="S72" s="24">
        <f t="shared" si="261"/>
        <v>2354133.53771806</v>
      </c>
      <c r="T72" s="25">
        <f t="shared" si="261"/>
        <v>2486023.970415323</v>
      </c>
      <c r="V72" s="26">
        <f t="shared" si="261"/>
        <v>9203160.5415021144</v>
      </c>
      <c r="X72" s="29">
        <f>X66+X69-X70</f>
        <v>3618703.7389403642</v>
      </c>
      <c r="Y72" s="24">
        <f t="shared" ref="Y72:AC72" si="262">Y66+Y69-Y70</f>
        <v>5586766.5788723845</v>
      </c>
      <c r="Z72" s="24">
        <f t="shared" si="262"/>
        <v>5811437.0774820307</v>
      </c>
      <c r="AA72" s="25">
        <f t="shared" si="262"/>
        <v>6090511.1758644665</v>
      </c>
      <c r="AC72" s="26">
        <f t="shared" si="262"/>
        <v>21107418.57115924</v>
      </c>
      <c r="AE72" s="29">
        <f>AE66+AE69-AE70</f>
        <v>7064674.8861350212</v>
      </c>
      <c r="AF72" s="24">
        <f t="shared" ref="AF72:AJ72" si="263">AF66+AF69-AF70</f>
        <v>7389818.9798155986</v>
      </c>
      <c r="AG72" s="24">
        <f t="shared" si="263"/>
        <v>7789309.1171376975</v>
      </c>
      <c r="AH72" s="25">
        <f t="shared" si="263"/>
        <v>8125098.8468849193</v>
      </c>
      <c r="AJ72" s="26">
        <f t="shared" si="263"/>
        <v>30368901.829973232</v>
      </c>
    </row>
    <row r="73" spans="2:36" x14ac:dyDescent="0.2">
      <c r="B73" s="27" t="s">
        <v>86</v>
      </c>
      <c r="C73" s="28">
        <f>IFERROR(C72/C$30,0%)</f>
        <v>0.01</v>
      </c>
      <c r="D73" s="28">
        <f t="shared" ref="D73" si="264">IFERROR(D72/D$30,0%)</f>
        <v>0.01</v>
      </c>
      <c r="E73" s="28">
        <f t="shared" ref="E73" si="265">IFERROR(E72/E$30,0%)</f>
        <v>0.04</v>
      </c>
      <c r="F73" s="28">
        <f t="shared" ref="F73" si="266">IFERROR(F72/F$30,0%)</f>
        <v>0.01</v>
      </c>
      <c r="H73" s="28">
        <f t="shared" ref="H73" si="267">IFERROR(H72/H$30,0%)</f>
        <v>0.02</v>
      </c>
      <c r="J73" s="28">
        <f>IFERROR(J72/J$30,0%)</f>
        <v>7.6489116977246099E-2</v>
      </c>
      <c r="K73" s="28">
        <f t="shared" ref="K73" si="268">IFERROR(K72/K$30,0%)</f>
        <v>0.20051833256992077</v>
      </c>
      <c r="L73" s="28">
        <f t="shared" ref="L73" si="269">IFERROR(L72/L$30,0%)</f>
        <v>0.34794266873186058</v>
      </c>
      <c r="M73" s="28">
        <f t="shared" ref="M73" si="270">IFERROR(M72/M$30,0%)</f>
        <v>0.34619524305830629</v>
      </c>
      <c r="O73" s="28">
        <f t="shared" ref="O73" si="271">IFERROR(O72/O$30,0%)</f>
        <v>0.26765531814975368</v>
      </c>
      <c r="Q73" s="28">
        <f>IFERROR(Q72/Q$30,0%)</f>
        <v>0.46170448156798483</v>
      </c>
      <c r="R73" s="28">
        <f t="shared" ref="R73" si="272">IFERROR(R72/R$30,0%)</f>
        <v>0.45868489620040764</v>
      </c>
      <c r="S73" s="28">
        <f t="shared" ref="S73" si="273">IFERROR(S72/S$30,0%)</f>
        <v>0.45431244998659909</v>
      </c>
      <c r="T73" s="28">
        <f t="shared" ref="T73" si="274">IFERROR(T72/T$30,0%)</f>
        <v>0.45097940506400419</v>
      </c>
      <c r="V73" s="28">
        <f t="shared" ref="V73" si="275">IFERROR(V72/V$30,0%)</f>
        <v>0.45614961235652279</v>
      </c>
      <c r="X73" s="28">
        <f>IFERROR(X72/X$30,0%)</f>
        <v>0.44340033299902382</v>
      </c>
      <c r="Y73" s="28">
        <f t="shared" ref="Y73" si="276">IFERROR(Y72/Y$30,0%)</f>
        <v>0.52457163315750333</v>
      </c>
      <c r="Z73" s="28">
        <f t="shared" ref="Z73" si="277">IFERROR(Z72/Z$30,0%)</f>
        <v>0.522931025940506</v>
      </c>
      <c r="AA73" s="28">
        <f t="shared" ref="AA73" si="278">IFERROR(AA72/AA$30,0%)</f>
        <v>0.52091213346414622</v>
      </c>
      <c r="AC73" s="28">
        <f t="shared" ref="AC73" si="279">IFERROR(AC72/AC$30,0%)</f>
        <v>0.50718725367757655</v>
      </c>
      <c r="AE73" s="28">
        <f>IFERROR(AE72/AE$30,0%)</f>
        <v>0.5483137275871075</v>
      </c>
      <c r="AF73" s="28">
        <f t="shared" ref="AF73" si="280">IFERROR(AF72/AF$30,0%)</f>
        <v>0.54771372639264082</v>
      </c>
      <c r="AG73" s="28">
        <f t="shared" ref="AG73" si="281">IFERROR(AG72/AG$30,0%)</f>
        <v>0.55243826617139247</v>
      </c>
      <c r="AH73" s="28">
        <f t="shared" ref="AH73" si="282">IFERROR(AH72/AH$30,0%)</f>
        <v>0.55244123382321397</v>
      </c>
      <c r="AJ73" s="28">
        <f t="shared" ref="AJ73" si="283">IFERROR(AJ72/AJ$30,0%)</f>
        <v>0.55032094035750423</v>
      </c>
    </row>
    <row r="75" spans="2:36" x14ac:dyDescent="0.2">
      <c r="B75" s="5" t="s">
        <v>116</v>
      </c>
      <c r="C75" s="7">
        <f>IF(C72&lt;0,0,25%*C72)</f>
        <v>875</v>
      </c>
      <c r="D75" s="7">
        <f t="shared" ref="D75:F75" si="284">IF(D72&lt;0,0,25%*D72)</f>
        <v>875</v>
      </c>
      <c r="E75" s="7">
        <f t="shared" si="284"/>
        <v>7000</v>
      </c>
      <c r="F75" s="7">
        <f t="shared" si="284"/>
        <v>1750</v>
      </c>
      <c r="H75" s="7">
        <f>SUM(C75:F75)</f>
        <v>10500</v>
      </c>
      <c r="J75" s="7">
        <f>IF(J72&lt;0,0,25%*J72)</f>
        <v>37145.027432075134</v>
      </c>
      <c r="K75" s="7">
        <f t="shared" ref="K75:M75" si="285">IF(K72&lt;0,0,25%*K72)</f>
        <v>121062.94328908967</v>
      </c>
      <c r="L75" s="7">
        <f t="shared" si="285"/>
        <v>283138.34668055153</v>
      </c>
      <c r="M75" s="7">
        <f t="shared" si="285"/>
        <v>299891.62929925782</v>
      </c>
      <c r="O75" s="7">
        <f>SUM(J75:M75)</f>
        <v>741237.94670097413</v>
      </c>
      <c r="Q75" s="7">
        <f>IF(Q72&lt;0,0,25%*Q72)</f>
        <v>534480.65047513845</v>
      </c>
      <c r="R75" s="7">
        <f t="shared" ref="R75:T75" si="286">IF(R72&lt;0,0,25%*R72)</f>
        <v>556270.1078670444</v>
      </c>
      <c r="S75" s="7">
        <f t="shared" si="286"/>
        <v>588533.38442951499</v>
      </c>
      <c r="T75" s="7">
        <f t="shared" si="286"/>
        <v>621505.99260383076</v>
      </c>
      <c r="V75" s="7">
        <f>SUM(Q75:T75)</f>
        <v>2300790.1353755286</v>
      </c>
      <c r="X75" s="7">
        <f>IF(X72&lt;0,0,25%*X72)</f>
        <v>904675.93473509105</v>
      </c>
      <c r="Y75" s="7">
        <f t="shared" ref="Y75:AA75" si="287">IF(Y72&lt;0,0,25%*Y72)</f>
        <v>1396691.6447180961</v>
      </c>
      <c r="Z75" s="7">
        <f t="shared" si="287"/>
        <v>1452859.2693705077</v>
      </c>
      <c r="AA75" s="7">
        <f t="shared" si="287"/>
        <v>1522627.7939661166</v>
      </c>
      <c r="AC75" s="7">
        <f>SUM(X75:AA75)</f>
        <v>5276854.6427898109</v>
      </c>
      <c r="AE75" s="7">
        <f>IF(AE72&lt;0,0,25%*AE72)</f>
        <v>1766168.7215337553</v>
      </c>
      <c r="AF75" s="7">
        <f t="shared" ref="AF75:AH75" si="288">IF(AF72&lt;0,0,25%*AF72)</f>
        <v>1847454.7449538996</v>
      </c>
      <c r="AG75" s="7">
        <f t="shared" si="288"/>
        <v>1947327.2792844244</v>
      </c>
      <c r="AH75" s="7">
        <f t="shared" si="288"/>
        <v>2031274.7117212298</v>
      </c>
      <c r="AJ75" s="7">
        <f>SUM(AE75:AH75)</f>
        <v>7592225.4574933089</v>
      </c>
    </row>
    <row r="76" spans="2:36" x14ac:dyDescent="0.2">
      <c r="B76" s="23" t="s">
        <v>117</v>
      </c>
      <c r="C76" s="24">
        <f>C72-C75</f>
        <v>2625</v>
      </c>
      <c r="D76" s="24">
        <f t="shared" ref="D76:H76" si="289">D72-D75</f>
        <v>2625</v>
      </c>
      <c r="E76" s="24">
        <f t="shared" si="289"/>
        <v>21000</v>
      </c>
      <c r="F76" s="25">
        <f t="shared" si="289"/>
        <v>5250</v>
      </c>
      <c r="H76" s="26">
        <f t="shared" si="289"/>
        <v>31500</v>
      </c>
      <c r="J76" s="29">
        <f>J72-J75</f>
        <v>111435.0822962254</v>
      </c>
      <c r="K76" s="24">
        <f t="shared" ref="K76" si="290">K72-K75</f>
        <v>363188.82986726903</v>
      </c>
      <c r="L76" s="24">
        <f t="shared" ref="L76" si="291">L72-L75</f>
        <v>849415.0400416546</v>
      </c>
      <c r="M76" s="25">
        <f t="shared" ref="M76" si="292">M72-M75</f>
        <v>899674.88789777341</v>
      </c>
      <c r="O76" s="26">
        <f t="shared" ref="O76" si="293">O72-O75</f>
        <v>2223713.8401029222</v>
      </c>
      <c r="Q76" s="29">
        <f>Q72-Q75</f>
        <v>1603441.9514254155</v>
      </c>
      <c r="R76" s="24">
        <f t="shared" ref="R76" si="294">R72-R75</f>
        <v>1668810.3236011332</v>
      </c>
      <c r="S76" s="24">
        <f t="shared" ref="S76" si="295">S72-S75</f>
        <v>1765600.1532885451</v>
      </c>
      <c r="T76" s="25">
        <f t="shared" ref="T76" si="296">T72-T75</f>
        <v>1864517.9778114923</v>
      </c>
      <c r="V76" s="26">
        <f t="shared" ref="V76" si="297">V72-V75</f>
        <v>6902370.4061265858</v>
      </c>
      <c r="X76" s="29">
        <f>X72-X75</f>
        <v>2714027.8042052733</v>
      </c>
      <c r="Y76" s="24">
        <f t="shared" ref="Y76" si="298">Y72-Y75</f>
        <v>4190074.9341542884</v>
      </c>
      <c r="Z76" s="24">
        <f t="shared" ref="Z76" si="299">Z72-Z75</f>
        <v>4358577.8081115233</v>
      </c>
      <c r="AA76" s="25">
        <f t="shared" ref="AA76" si="300">AA72-AA75</f>
        <v>4567883.3818983501</v>
      </c>
      <c r="AC76" s="26">
        <f t="shared" ref="AC76" si="301">AC72-AC75</f>
        <v>15830563.928369429</v>
      </c>
      <c r="AE76" s="29">
        <f>AE72-AE75</f>
        <v>5298506.1646012664</v>
      </c>
      <c r="AF76" s="24">
        <f t="shared" ref="AF76" si="302">AF72-AF75</f>
        <v>5542364.2348616989</v>
      </c>
      <c r="AG76" s="24">
        <f t="shared" ref="AG76" si="303">AG72-AG75</f>
        <v>5841981.8378532734</v>
      </c>
      <c r="AH76" s="25">
        <f t="shared" ref="AH76" si="304">AH72-AH75</f>
        <v>6093824.135163689</v>
      </c>
      <c r="AJ76" s="26">
        <f t="shared" ref="AJ76" si="305">AJ72-AJ75</f>
        <v>22776676.372479923</v>
      </c>
    </row>
    <row r="77" spans="2:36" x14ac:dyDescent="0.2">
      <c r="B77" s="27" t="s">
        <v>117</v>
      </c>
      <c r="C77" s="28">
        <f>IFERROR(C76/C$30,0%)</f>
        <v>7.4999999999999997E-3</v>
      </c>
      <c r="D77" s="28">
        <f t="shared" ref="D77:H77" si="306">IFERROR(D76/D$30,0%)</f>
        <v>7.4999999999999997E-3</v>
      </c>
      <c r="E77" s="28">
        <f t="shared" si="306"/>
        <v>0.03</v>
      </c>
      <c r="F77" s="28">
        <f t="shared" si="306"/>
        <v>7.4999999999999997E-3</v>
      </c>
      <c r="H77" s="28">
        <f t="shared" si="306"/>
        <v>1.4999999999999999E-2</v>
      </c>
      <c r="J77" s="28">
        <f>IFERROR(J76/J$30,0%)</f>
        <v>5.7366837732934571E-2</v>
      </c>
      <c r="K77" s="28">
        <f t="shared" ref="K77:M77" si="307">IFERROR(K76/K$30,0%)</f>
        <v>0.1503887494274406</v>
      </c>
      <c r="L77" s="28">
        <f t="shared" si="307"/>
        <v>0.26095700154889545</v>
      </c>
      <c r="M77" s="28">
        <f t="shared" si="307"/>
        <v>0.25964643229372969</v>
      </c>
      <c r="O77" s="28">
        <f t="shared" ref="O77" si="308">IFERROR(O76/O$30,0%)</f>
        <v>0.20074148861231525</v>
      </c>
      <c r="Q77" s="28">
        <f>IFERROR(Q76/Q$30,0%)</f>
        <v>0.34627836117598865</v>
      </c>
      <c r="R77" s="28">
        <f t="shared" ref="R77:T77" si="309">IFERROR(R76/R$30,0%)</f>
        <v>0.34401367215030576</v>
      </c>
      <c r="S77" s="28">
        <f t="shared" si="309"/>
        <v>0.34073433748994936</v>
      </c>
      <c r="T77" s="28">
        <f t="shared" si="309"/>
        <v>0.33823455379800316</v>
      </c>
      <c r="V77" s="28">
        <f t="shared" ref="V77" si="310">IFERROR(V76/V$30,0%)</f>
        <v>0.34211220926739211</v>
      </c>
      <c r="X77" s="28">
        <f>IFERROR(X76/X$30,0%)</f>
        <v>0.33255024974926789</v>
      </c>
      <c r="Y77" s="28">
        <f t="shared" ref="Y77:AA77" si="311">IFERROR(Y76/Y$30,0%)</f>
        <v>0.39342872486812752</v>
      </c>
      <c r="Z77" s="28">
        <f t="shared" si="311"/>
        <v>0.3921982694553795</v>
      </c>
      <c r="AA77" s="28">
        <f t="shared" si="311"/>
        <v>0.39068410009810972</v>
      </c>
      <c r="AC77" s="28">
        <f t="shared" ref="AC77" si="312">IFERROR(AC76/AC$30,0%)</f>
        <v>0.38039044025818242</v>
      </c>
      <c r="AE77" s="28">
        <f>IFERROR(AE76/AE$30,0%)</f>
        <v>0.41123529569033063</v>
      </c>
      <c r="AF77" s="28">
        <f t="shared" ref="AF77:AH77" si="313">IFERROR(AF76/AF$30,0%)</f>
        <v>0.41078529479448067</v>
      </c>
      <c r="AG77" s="28">
        <f t="shared" si="313"/>
        <v>0.41432869962854441</v>
      </c>
      <c r="AH77" s="28">
        <f t="shared" si="313"/>
        <v>0.41433092536741051</v>
      </c>
      <c r="AJ77" s="28">
        <f t="shared" ref="AJ77" si="314">IFERROR(AJ76/AJ$30,0%)</f>
        <v>0.41274070526812817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EDD6-EE3B-4C30-BCC7-C23D1EF794CE}">
  <sheetPr>
    <tabColor rgb="FF00B050"/>
  </sheetPr>
  <dimension ref="B1:AJ41"/>
  <sheetViews>
    <sheetView showGridLines="0" zoomScale="85" zoomScaleNormal="85" workbookViewId="0">
      <pane xSplit="2" ySplit="6" topLeftCell="C7" activePane="bottomRight" state="frozen"/>
      <selection activeCell="F17" sqref="F17"/>
      <selection pane="topRight" activeCell="F17" sqref="F17"/>
      <selection pane="bottomLeft" activeCell="F17" sqref="F17"/>
      <selection pane="bottomRight" activeCell="O49" sqref="O49"/>
    </sheetView>
  </sheetViews>
  <sheetFormatPr baseColWidth="10" defaultColWidth="3.1640625" defaultRowHeight="15" x14ac:dyDescent="0.2"/>
  <cols>
    <col min="1" max="1" width="3.1640625" style="5"/>
    <col min="2" max="2" width="53.83203125" style="5" bestFit="1" customWidth="1"/>
    <col min="3" max="4" width="10.83203125" style="5" bestFit="1" customWidth="1"/>
    <col min="5" max="6" width="11.5" style="5" bestFit="1" customWidth="1"/>
    <col min="7" max="7" width="3.1640625" style="5"/>
    <col min="8" max="8" width="10.33203125" style="5" bestFit="1" customWidth="1"/>
    <col min="9" max="9" width="3.1640625" style="5"/>
    <col min="10" max="11" width="10.83203125" style="5" bestFit="1" customWidth="1"/>
    <col min="12" max="13" width="11.83203125" style="5" bestFit="1" customWidth="1"/>
    <col min="14" max="14" width="3.1640625" style="5"/>
    <col min="15" max="15" width="11.83203125" style="5" bestFit="1" customWidth="1"/>
    <col min="16" max="16" width="3.1640625" style="5"/>
    <col min="17" max="20" width="11.83203125" style="5" bestFit="1" customWidth="1"/>
    <col min="21" max="21" width="3.1640625" style="5"/>
    <col min="22" max="22" width="11.83203125" style="5" bestFit="1" customWidth="1"/>
    <col min="23" max="23" width="3.1640625" style="5"/>
    <col min="24" max="27" width="11.83203125" style="5" bestFit="1" customWidth="1"/>
    <col min="28" max="28" width="3.1640625" style="5"/>
    <col min="29" max="29" width="11.83203125" style="5" bestFit="1" customWidth="1"/>
    <col min="30" max="30" width="3.1640625" style="5"/>
    <col min="31" max="34" width="11.83203125" style="5" bestFit="1" customWidth="1"/>
    <col min="35" max="35" width="3.1640625" style="5"/>
    <col min="36" max="36" width="11.83203125" style="5" bestFit="1" customWidth="1"/>
    <col min="37" max="48" width="3.1640625" style="5"/>
    <col min="49" max="49" width="3.1640625" style="5" customWidth="1"/>
    <col min="50" max="16384" width="3.1640625" style="5"/>
  </cols>
  <sheetData>
    <row r="1" spans="2:36" ht="20" x14ac:dyDescent="0.25">
      <c r="B1" s="34" t="s">
        <v>118</v>
      </c>
    </row>
    <row r="2" spans="2:36" x14ac:dyDescent="0.2">
      <c r="B2" s="8" t="str">
        <f>'Assumption Sheet'!B2</f>
        <v>Updated on 01 Feb 2026</v>
      </c>
    </row>
    <row r="6" spans="2:36" x14ac:dyDescent="0.2">
      <c r="B6" s="20" t="s">
        <v>0</v>
      </c>
      <c r="C6" s="4" t="str">
        <f>'P&amp;L Assumption Sheet'!C6</f>
        <v>FY26-27 Q1</v>
      </c>
      <c r="D6" s="4" t="str">
        <f>'P&amp;L Assumption Sheet'!D6</f>
        <v>FY26-27 Q2</v>
      </c>
      <c r="E6" s="4" t="str">
        <f>'P&amp;L Assumption Sheet'!E6</f>
        <v>FY26-27 Q3</v>
      </c>
      <c r="F6" s="4" t="str">
        <f>'P&amp;L Assumption Sheet'!F6</f>
        <v>FY26-27 Q4</v>
      </c>
      <c r="G6" s="1"/>
      <c r="H6" s="2" t="str">
        <f>'P&amp;L Assumption Sheet'!H6</f>
        <v>FY26-27</v>
      </c>
      <c r="I6" s="1"/>
      <c r="J6" s="4" t="str">
        <f>'P&amp;L Assumption Sheet'!J6</f>
        <v>FY27-28 Q1</v>
      </c>
      <c r="K6" s="4" t="str">
        <f>'P&amp;L Assumption Sheet'!K6</f>
        <v>FY27-28 Q2</v>
      </c>
      <c r="L6" s="4" t="str">
        <f>'P&amp;L Assumption Sheet'!L6</f>
        <v>FY27-28 Q3</v>
      </c>
      <c r="M6" s="4" t="str">
        <f>'P&amp;L Assumption Sheet'!M6</f>
        <v>FY27-28 Q4</v>
      </c>
      <c r="N6" s="1"/>
      <c r="O6" s="2" t="str">
        <f>'P&amp;L Assumption Sheet'!O6</f>
        <v>FY27-28</v>
      </c>
      <c r="P6" s="1"/>
      <c r="Q6" s="4" t="str">
        <f>'P&amp;L Assumption Sheet'!Q6</f>
        <v>FY28-29 Q1</v>
      </c>
      <c r="R6" s="4" t="str">
        <f>'P&amp;L Assumption Sheet'!R6</f>
        <v>FY28-29 Q2</v>
      </c>
      <c r="S6" s="4" t="str">
        <f>'P&amp;L Assumption Sheet'!S6</f>
        <v>FY28-29 Q3</v>
      </c>
      <c r="T6" s="4" t="str">
        <f>'P&amp;L Assumption Sheet'!T6</f>
        <v>FY28-29 Q4</v>
      </c>
      <c r="U6" s="1"/>
      <c r="V6" s="2" t="str">
        <f>'P&amp;L Assumption Sheet'!V6</f>
        <v>FY28-29</v>
      </c>
      <c r="W6" s="1"/>
      <c r="X6" s="4" t="str">
        <f>'P&amp;L Assumption Sheet'!X6</f>
        <v>FY29-30 Q1</v>
      </c>
      <c r="Y6" s="4" t="str">
        <f>'P&amp;L Assumption Sheet'!Y6</f>
        <v>FY29-30 Q2</v>
      </c>
      <c r="Z6" s="4" t="str">
        <f>'P&amp;L Assumption Sheet'!Z6</f>
        <v>FY29-30 Q3</v>
      </c>
      <c r="AA6" s="4" t="str">
        <f>'P&amp;L Assumption Sheet'!AA6</f>
        <v>FY29-30 Q4</v>
      </c>
      <c r="AB6" s="3"/>
      <c r="AC6" s="2" t="str">
        <f>'P&amp;L Assumption Sheet'!AC6</f>
        <v>FY29-30</v>
      </c>
      <c r="AD6" s="1"/>
      <c r="AE6" s="4" t="str">
        <f>'P&amp;L Assumption Sheet'!AE6</f>
        <v>FY30-31 Q1</v>
      </c>
      <c r="AF6" s="4" t="str">
        <f>'P&amp;L Assumption Sheet'!AF6</f>
        <v>FY30-31 Q2</v>
      </c>
      <c r="AG6" s="4" t="str">
        <f>'P&amp;L Assumption Sheet'!AG6</f>
        <v>FY30-31 Q3</v>
      </c>
      <c r="AH6" s="4" t="str">
        <f>'P&amp;L Assumption Sheet'!AH6</f>
        <v>FY30-31 Q4</v>
      </c>
      <c r="AI6" s="1"/>
      <c r="AJ6" s="2" t="str">
        <f>'P&amp;L Assumption Sheet'!AJ6</f>
        <v>FY30-31</v>
      </c>
    </row>
    <row r="7" spans="2:36" x14ac:dyDescent="0.2">
      <c r="B7" s="5" t="s">
        <v>119</v>
      </c>
      <c r="C7" s="48">
        <f>('Income Statement'!C10*'Working Capital Assumptions'!C8)/90</f>
        <v>116666.66666666667</v>
      </c>
      <c r="D7" s="48">
        <f>('Income Statement'!D10*'Working Capital Assumptions'!D8)/90</f>
        <v>116666.66666666667</v>
      </c>
      <c r="E7" s="48">
        <f>('Income Statement'!E10*'Working Capital Assumptions'!E8)/90</f>
        <v>233333.33333333334</v>
      </c>
      <c r="F7" s="48">
        <f>('Income Statement'!F10*'Working Capital Assumptions'!F8)/90</f>
        <v>233333.33333333334</v>
      </c>
      <c r="G7" s="49"/>
      <c r="H7" s="50">
        <f>F7</f>
        <v>233333.33333333334</v>
      </c>
      <c r="I7" s="49"/>
      <c r="J7" s="48">
        <f>('Income Statement'!J10*'Working Capital Assumptions'!J8)/90</f>
        <v>647500</v>
      </c>
      <c r="K7" s="48">
        <f>('Income Statement'!K10*'Working Capital Assumptions'!K8)/90</f>
        <v>805000</v>
      </c>
      <c r="L7" s="48">
        <f>('Income Statement'!L10*'Working Capital Assumptions'!L8)/90</f>
        <v>1085000</v>
      </c>
      <c r="M7" s="48">
        <f>('Income Statement'!M10*'Working Capital Assumptions'!M8)/90</f>
        <v>1155000</v>
      </c>
      <c r="N7" s="49"/>
      <c r="O7" s="50">
        <f>M7</f>
        <v>1155000</v>
      </c>
      <c r="P7" s="49"/>
      <c r="Q7" s="48">
        <f>('Income Statement'!Q10*'Working Capital Assumptions'!Q8)/90</f>
        <v>1543500</v>
      </c>
      <c r="R7" s="48">
        <f>('Income Statement'!R10*'Working Capital Assumptions'!R8)/90</f>
        <v>1617000</v>
      </c>
      <c r="S7" s="48">
        <f>('Income Statement'!S10*'Working Capital Assumptions'!S8)/90</f>
        <v>1727250</v>
      </c>
      <c r="T7" s="48">
        <f>('Income Statement'!T10*'Working Capital Assumptions'!T8)/90</f>
        <v>1837500</v>
      </c>
      <c r="U7" s="49"/>
      <c r="V7" s="50">
        <f>T7</f>
        <v>1837500</v>
      </c>
      <c r="W7" s="49"/>
      <c r="X7" s="48">
        <f>('Income Statement'!X10*'Working Capital Assumptions'!X8)/90</f>
        <v>2720418.75</v>
      </c>
      <c r="Y7" s="48">
        <f>('Income Statement'!Y10*'Working Capital Assumptions'!Y8)/90</f>
        <v>3550050</v>
      </c>
      <c r="Z7" s="48">
        <f>('Income Statement'!Z10*'Working Capital Assumptions'!Z8)/90</f>
        <v>3704400</v>
      </c>
      <c r="AA7" s="48">
        <f>('Income Statement'!AA10*'Working Capital Assumptions'!AA8)/90</f>
        <v>3897337.5</v>
      </c>
      <c r="AB7" s="49"/>
      <c r="AC7" s="50">
        <f>AA7</f>
        <v>3897337.5</v>
      </c>
      <c r="AD7" s="49"/>
      <c r="AE7" s="48">
        <f>('Income Statement'!AE10*'Working Capital Assumptions'!AE8)/90</f>
        <v>4294788.75</v>
      </c>
      <c r="AF7" s="48">
        <f>('Income Statement'!AF10*'Working Capital Assumptions'!AF8)/90</f>
        <v>4497373.125</v>
      </c>
      <c r="AG7" s="48">
        <f>('Income Statement'!AG10*'Working Capital Assumptions'!AG8)/90</f>
        <v>4699957.5</v>
      </c>
      <c r="AH7" s="48">
        <f>('Income Statement'!AH10*'Working Capital Assumptions'!AH8)/90</f>
        <v>4902541.875</v>
      </c>
      <c r="AI7" s="49"/>
      <c r="AJ7" s="50">
        <f>AH7</f>
        <v>4902541.875</v>
      </c>
    </row>
    <row r="8" spans="2:36" x14ac:dyDescent="0.2">
      <c r="B8" s="27" t="s">
        <v>120</v>
      </c>
      <c r="C8" s="51">
        <v>30</v>
      </c>
      <c r="D8" s="51">
        <f t="shared" ref="D8:F8" si="0">$C8</f>
        <v>30</v>
      </c>
      <c r="E8" s="51">
        <f t="shared" si="0"/>
        <v>30</v>
      </c>
      <c r="F8" s="51">
        <f t="shared" si="0"/>
        <v>30</v>
      </c>
      <c r="G8" s="52"/>
      <c r="H8" s="53">
        <f>H7/'Income Statement'!H10*365</f>
        <v>40.555555555555557</v>
      </c>
      <c r="I8" s="52"/>
      <c r="J8" s="51">
        <v>30</v>
      </c>
      <c r="K8" s="51">
        <f t="shared" ref="K8:M8" si="1">$C8</f>
        <v>30</v>
      </c>
      <c r="L8" s="51">
        <f t="shared" si="1"/>
        <v>30</v>
      </c>
      <c r="M8" s="51">
        <f t="shared" si="1"/>
        <v>30</v>
      </c>
      <c r="N8" s="52"/>
      <c r="O8" s="53">
        <f>O7/'Income Statement'!O10*365</f>
        <v>38.056872037914687</v>
      </c>
      <c r="P8" s="52"/>
      <c r="Q8" s="51">
        <v>30</v>
      </c>
      <c r="R8" s="51">
        <f t="shared" ref="R8:T8" si="2">$C8</f>
        <v>30</v>
      </c>
      <c r="S8" s="51">
        <f t="shared" si="2"/>
        <v>30</v>
      </c>
      <c r="T8" s="51">
        <f t="shared" si="2"/>
        <v>30</v>
      </c>
      <c r="U8" s="52"/>
      <c r="V8" s="53">
        <f>V7/'Income Statement'!V10*365</f>
        <v>33.242258652094719</v>
      </c>
      <c r="W8" s="52"/>
      <c r="X8" s="51">
        <v>30</v>
      </c>
      <c r="Y8" s="51">
        <f t="shared" ref="Y8:AA8" si="3">$C8</f>
        <v>30</v>
      </c>
      <c r="Z8" s="51">
        <f t="shared" si="3"/>
        <v>30</v>
      </c>
      <c r="AA8" s="51">
        <f t="shared" si="3"/>
        <v>30</v>
      </c>
      <c r="AB8" s="52"/>
      <c r="AC8" s="53">
        <f>AC7/'Income Statement'!AC10*365</f>
        <v>34.181733889661565</v>
      </c>
      <c r="AD8" s="52"/>
      <c r="AE8" s="51">
        <v>30</v>
      </c>
      <c r="AF8" s="51">
        <f t="shared" ref="AF8:AH8" si="4">$C8</f>
        <v>30</v>
      </c>
      <c r="AG8" s="51">
        <f t="shared" si="4"/>
        <v>30</v>
      </c>
      <c r="AH8" s="51">
        <f t="shared" si="4"/>
        <v>30</v>
      </c>
      <c r="AI8" s="52"/>
      <c r="AJ8" s="53">
        <f>AJ7/'Income Statement'!AJ10*365</f>
        <v>32.426578560939795</v>
      </c>
    </row>
    <row r="9" spans="2:36" x14ac:dyDescent="0.2">
      <c r="B9" s="5" t="s">
        <v>104</v>
      </c>
      <c r="C9" s="48">
        <f>'Income Statement'!C$10*'Working Capital Assumptions'!C10</f>
        <v>17500</v>
      </c>
      <c r="D9" s="48">
        <f>'Income Statement'!D$10*'Working Capital Assumptions'!D10</f>
        <v>17500</v>
      </c>
      <c r="E9" s="48">
        <f>'Income Statement'!E$10*'Working Capital Assumptions'!E10</f>
        <v>35000</v>
      </c>
      <c r="F9" s="48">
        <f>'Income Statement'!F$10*'Working Capital Assumptions'!F10</f>
        <v>35000</v>
      </c>
      <c r="G9" s="49"/>
      <c r="H9" s="48">
        <f>SUM(C9:F9)</f>
        <v>105000</v>
      </c>
      <c r="I9" s="49"/>
      <c r="J9" s="48">
        <f>'Income Statement'!J10*'Working Capital Assumptions'!J10</f>
        <v>97125</v>
      </c>
      <c r="K9" s="48">
        <f>'Income Statement'!K10*'Working Capital Assumptions'!K10</f>
        <v>120750</v>
      </c>
      <c r="L9" s="48">
        <f>'Income Statement'!L10*'Working Capital Assumptions'!L10</f>
        <v>162750</v>
      </c>
      <c r="M9" s="48">
        <f>'Income Statement'!M10*'Working Capital Assumptions'!M10</f>
        <v>173250</v>
      </c>
      <c r="N9" s="49"/>
      <c r="O9" s="48">
        <f>SUM(J9:M9)</f>
        <v>553875</v>
      </c>
      <c r="P9" s="49"/>
      <c r="Q9" s="48">
        <f>'Income Statement'!Q10*'Working Capital Assumptions'!Q10</f>
        <v>231525</v>
      </c>
      <c r="R9" s="48">
        <f>'Income Statement'!R10*'Working Capital Assumptions'!R10</f>
        <v>242550</v>
      </c>
      <c r="S9" s="48">
        <f>'Income Statement'!S10*'Working Capital Assumptions'!S10</f>
        <v>259087.5</v>
      </c>
      <c r="T9" s="48">
        <f>'Income Statement'!T10*'Working Capital Assumptions'!T10</f>
        <v>275625</v>
      </c>
      <c r="U9" s="49"/>
      <c r="V9" s="48">
        <f>SUM(Q9:T9)</f>
        <v>1008787.5</v>
      </c>
      <c r="W9" s="49"/>
      <c r="X9" s="48">
        <f>'Income Statement'!X10*'Working Capital Assumptions'!X10</f>
        <v>408062.8125</v>
      </c>
      <c r="Y9" s="48">
        <f>'Income Statement'!Y10*'Working Capital Assumptions'!Y10</f>
        <v>532507.5</v>
      </c>
      <c r="Z9" s="48">
        <f>'Income Statement'!Z10*'Working Capital Assumptions'!Z10</f>
        <v>555660</v>
      </c>
      <c r="AA9" s="48">
        <f>'Income Statement'!AA10*'Working Capital Assumptions'!AA10</f>
        <v>584600.625</v>
      </c>
      <c r="AB9" s="49"/>
      <c r="AC9" s="48">
        <f>SUM(X9:AA9)</f>
        <v>2080830.9375</v>
      </c>
      <c r="AD9" s="49"/>
      <c r="AE9" s="48">
        <f>AE10*'Income Statement'!AE10</f>
        <v>644218.3125</v>
      </c>
      <c r="AF9" s="48">
        <f>'Income Statement'!AF10*'Working Capital Assumptions'!AF10</f>
        <v>674605.96875</v>
      </c>
      <c r="AG9" s="48">
        <f>'Income Statement'!AG10*'Working Capital Assumptions'!AG10</f>
        <v>704993.625</v>
      </c>
      <c r="AH9" s="48">
        <f>'Income Statement'!AH10*'Working Capital Assumptions'!AH10</f>
        <v>735381.28125</v>
      </c>
      <c r="AI9" s="49"/>
      <c r="AJ9" s="48">
        <f>SUM(AE9:AH9)</f>
        <v>2759199.1875</v>
      </c>
    </row>
    <row r="10" spans="2:36" x14ac:dyDescent="0.2">
      <c r="B10" s="27" t="s">
        <v>57</v>
      </c>
      <c r="C10" s="54">
        <v>0.05</v>
      </c>
      <c r="D10" s="54">
        <v>0.05</v>
      </c>
      <c r="E10" s="54">
        <v>0.05</v>
      </c>
      <c r="F10" s="54">
        <v>0.05</v>
      </c>
      <c r="G10" s="52"/>
      <c r="H10" s="55">
        <f>H9/'Income Statement'!H$10</f>
        <v>0.05</v>
      </c>
      <c r="I10" s="52"/>
      <c r="J10" s="54">
        <v>0.05</v>
      </c>
      <c r="K10" s="54">
        <v>0.05</v>
      </c>
      <c r="L10" s="54">
        <v>0.05</v>
      </c>
      <c r="M10" s="54">
        <v>0.05</v>
      </c>
      <c r="N10" s="52"/>
      <c r="O10" s="55">
        <f>O9/'Income Statement'!O$10</f>
        <v>0.05</v>
      </c>
      <c r="P10" s="52"/>
      <c r="Q10" s="54">
        <v>0.05</v>
      </c>
      <c r="R10" s="54">
        <v>0.05</v>
      </c>
      <c r="S10" s="54">
        <v>0.05</v>
      </c>
      <c r="T10" s="54">
        <v>0.05</v>
      </c>
      <c r="U10" s="52"/>
      <c r="V10" s="55">
        <f>V9/'Income Statement'!V$10</f>
        <v>0.05</v>
      </c>
      <c r="W10" s="52"/>
      <c r="X10" s="54">
        <v>0.05</v>
      </c>
      <c r="Y10" s="54">
        <v>0.05</v>
      </c>
      <c r="Z10" s="54">
        <v>0.05</v>
      </c>
      <c r="AA10" s="54">
        <v>0.05</v>
      </c>
      <c r="AB10" s="52"/>
      <c r="AC10" s="55">
        <f>AC9/'Income Statement'!AC$10</f>
        <v>0.05</v>
      </c>
      <c r="AD10" s="52"/>
      <c r="AE10" s="54">
        <v>0.05</v>
      </c>
      <c r="AF10" s="54">
        <v>0.05</v>
      </c>
      <c r="AG10" s="54">
        <v>0.05</v>
      </c>
      <c r="AH10" s="54">
        <v>0.05</v>
      </c>
      <c r="AI10" s="52"/>
      <c r="AJ10" s="55">
        <f>AJ9/'Income Statement'!AJ$10</f>
        <v>0.05</v>
      </c>
    </row>
    <row r="11" spans="2:36" x14ac:dyDescent="0.2">
      <c r="B11" s="23" t="s">
        <v>121</v>
      </c>
      <c r="C11" s="56">
        <f>C7+C9</f>
        <v>134166.66666666669</v>
      </c>
      <c r="D11" s="56">
        <f t="shared" ref="D11:H11" si="5">D7+D9</f>
        <v>134166.66666666669</v>
      </c>
      <c r="E11" s="56">
        <f t="shared" si="5"/>
        <v>268333.33333333337</v>
      </c>
      <c r="F11" s="57">
        <f t="shared" si="5"/>
        <v>268333.33333333337</v>
      </c>
      <c r="G11" s="58"/>
      <c r="H11" s="59">
        <f t="shared" si="5"/>
        <v>338333.33333333337</v>
      </c>
      <c r="I11" s="49"/>
      <c r="J11" s="60">
        <f>J7+J9</f>
        <v>744625</v>
      </c>
      <c r="K11" s="56">
        <f t="shared" ref="K11:M11" si="6">K7+K9</f>
        <v>925750</v>
      </c>
      <c r="L11" s="56">
        <f t="shared" si="6"/>
        <v>1247750</v>
      </c>
      <c r="M11" s="57">
        <f t="shared" si="6"/>
        <v>1328250</v>
      </c>
      <c r="N11" s="58"/>
      <c r="O11" s="59">
        <f t="shared" ref="O11" si="7">O7+O9</f>
        <v>1708875</v>
      </c>
      <c r="P11" s="49"/>
      <c r="Q11" s="60">
        <f>Q7+Q9</f>
        <v>1775025</v>
      </c>
      <c r="R11" s="56">
        <f t="shared" ref="R11:T11" si="8">R7+R9</f>
        <v>1859550</v>
      </c>
      <c r="S11" s="56">
        <f t="shared" si="8"/>
        <v>1986337.5</v>
      </c>
      <c r="T11" s="57">
        <f t="shared" si="8"/>
        <v>2113125</v>
      </c>
      <c r="U11" s="58"/>
      <c r="V11" s="59">
        <f t="shared" ref="V11" si="9">V7+V9</f>
        <v>2846287.5</v>
      </c>
      <c r="W11" s="49"/>
      <c r="X11" s="60">
        <f>X7+X9</f>
        <v>3128481.5625</v>
      </c>
      <c r="Y11" s="56">
        <f t="shared" ref="Y11:AA11" si="10">Y7+Y9</f>
        <v>4082557.5</v>
      </c>
      <c r="Z11" s="56">
        <f t="shared" si="10"/>
        <v>4260060</v>
      </c>
      <c r="AA11" s="57">
        <f t="shared" si="10"/>
        <v>4481938.125</v>
      </c>
      <c r="AB11" s="58"/>
      <c r="AC11" s="59">
        <f t="shared" ref="AC11" si="11">AC7+AC9</f>
        <v>5978168.4375</v>
      </c>
      <c r="AD11" s="49"/>
      <c r="AE11" s="60">
        <f>AE7+AE9</f>
        <v>4939007.0625</v>
      </c>
      <c r="AF11" s="56">
        <f t="shared" ref="AF11:AH11" si="12">AF7+AF9</f>
        <v>5171979.09375</v>
      </c>
      <c r="AG11" s="56">
        <f t="shared" si="12"/>
        <v>5404951.125</v>
      </c>
      <c r="AH11" s="57">
        <f t="shared" si="12"/>
        <v>5637923.15625</v>
      </c>
      <c r="AI11" s="58"/>
      <c r="AJ11" s="59">
        <f t="shared" ref="AJ11" si="13">AJ7+AJ9</f>
        <v>7661741.0625</v>
      </c>
    </row>
    <row r="12" spans="2:36" x14ac:dyDescent="0.2">
      <c r="B12" s="27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</row>
    <row r="13" spans="2:36" x14ac:dyDescent="0.2"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</row>
    <row r="14" spans="2:36" x14ac:dyDescent="0.2">
      <c r="B14" s="8" t="s">
        <v>122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</row>
    <row r="15" spans="2:36" x14ac:dyDescent="0.2">
      <c r="B15" s="5" t="s">
        <v>100</v>
      </c>
      <c r="C15" s="74">
        <f>SUM('Income Statement'!C13,'Income Statement'!C27*'Working Capital Assumptions'!C16)/90</f>
        <v>32044.444444444445</v>
      </c>
      <c r="D15" s="74">
        <f>SUM('Income Statement'!D13,'Income Statement'!D27*'Working Capital Assumptions'!D16)/90</f>
        <v>32044.444444444445</v>
      </c>
      <c r="E15" s="74">
        <f>SUM('Income Statement'!E13,'Income Statement'!E27*'Working Capital Assumptions'!E16)/90</f>
        <v>57088.888888888891</v>
      </c>
      <c r="F15" s="74">
        <f>SUM('Income Statement'!F13,'Income Statement'!F27*'Working Capital Assumptions'!F16)/90</f>
        <v>64088.888888888891</v>
      </c>
      <c r="G15" s="49"/>
      <c r="H15" s="48">
        <f>F15</f>
        <v>64088.888888888891</v>
      </c>
      <c r="I15" s="49"/>
      <c r="J15" s="74">
        <f>SUM('Income Statement'!J13,'Income Statement'!J27*'Working Capital Assumptions'!J16)/90</f>
        <v>185256.94444444444</v>
      </c>
      <c r="K15" s="74">
        <f>SUM('Income Statement'!K13,'Income Statement'!K27*'Working Capital Assumptions'!K16)/90</f>
        <v>214919.44444444444</v>
      </c>
      <c r="L15" s="74">
        <f>SUM('Income Statement'!L13,'Income Statement'!L27*'Working Capital Assumptions'!L16)/90</f>
        <v>263219.44444444444</v>
      </c>
      <c r="M15" s="74">
        <f>SUM('Income Statement'!M13,'Income Statement'!M27*'Working Capital Assumptions'!M16)/90</f>
        <v>279319.44444444444</v>
      </c>
      <c r="N15" s="49"/>
      <c r="O15" s="48">
        <f>M15</f>
        <v>279319.44444444444</v>
      </c>
      <c r="P15" s="49"/>
      <c r="Q15" s="74">
        <f>SUM('Income Statement'!Q13,'Income Statement'!Q27*'Working Capital Assumptions'!Q16)/90</f>
        <v>345610.22222222225</v>
      </c>
      <c r="R15" s="74">
        <f>SUM('Income Statement'!R13,'Income Statement'!R27*'Working Capital Assumptions'!R16)/90</f>
        <v>361449.47222222225</v>
      </c>
      <c r="S15" s="74">
        <f>SUM('Income Statement'!S13,'Income Statement'!S27*'Working Capital Assumptions'!S16)/90</f>
        <v>385208.34722222225</v>
      </c>
      <c r="T15" s="74">
        <f>SUM('Income Statement'!T13,'Income Statement'!T27*'Working Capital Assumptions'!T16)/90</f>
        <v>408967.22222222225</v>
      </c>
      <c r="U15" s="49"/>
      <c r="V15" s="48">
        <f>T15</f>
        <v>408967.22222222225</v>
      </c>
      <c r="W15" s="49"/>
      <c r="X15" s="74">
        <f>SUM('Income Statement'!X13,'Income Statement'!X27*'Working Capital Assumptions'!X16)/90</f>
        <v>536112.07222222222</v>
      </c>
      <c r="Y15" s="74">
        <f>SUM('Income Statement'!Y13,'Income Statement'!Y27*'Working Capital Assumptions'!Y16)/90</f>
        <v>656582.24722222227</v>
      </c>
      <c r="Z15" s="74">
        <f>SUM('Income Statement'!Z13,'Income Statement'!Z27*'Working Capital Assumptions'!Z16)/90</f>
        <v>684056.5472222222</v>
      </c>
      <c r="AA15" s="74">
        <f>SUM('Income Statement'!AA13,'Income Statement'!AA27*'Working Capital Assumptions'!AA16)/90</f>
        <v>718399.4222222222</v>
      </c>
      <c r="AB15" s="49"/>
      <c r="AC15" s="48">
        <f>AA15</f>
        <v>718399.4222222222</v>
      </c>
      <c r="AD15" s="49"/>
      <c r="AE15" s="74">
        <f>SUM('Income Statement'!AE13,'Income Statement'!AE27*'Working Capital Assumptions'!AE16)/90</f>
        <v>766438.13361111097</v>
      </c>
      <c r="AF15" s="74">
        <f>SUM('Income Statement'!AF13,'Income Statement'!AF27*'Working Capital Assumptions'!AF16)/90</f>
        <v>801485.23048611113</v>
      </c>
      <c r="AG15" s="74">
        <f>SUM('Income Statement'!AG13,'Income Statement'!AG27*'Working Capital Assumptions'!AG16)/90</f>
        <v>813032.5398611112</v>
      </c>
      <c r="AH15" s="74">
        <f>SUM('Income Statement'!AH13,'Income Statement'!AH27*'Working Capital Assumptions'!AH16)/90</f>
        <v>847066.71486111113</v>
      </c>
      <c r="AI15" s="49"/>
      <c r="AJ15" s="48">
        <f>AH15</f>
        <v>847066.71486111113</v>
      </c>
    </row>
    <row r="16" spans="2:36" x14ac:dyDescent="0.2">
      <c r="B16" s="27" t="s">
        <v>120</v>
      </c>
      <c r="C16" s="51">
        <v>30</v>
      </c>
      <c r="D16" s="51">
        <v>30</v>
      </c>
      <c r="E16" s="51">
        <v>30</v>
      </c>
      <c r="F16" s="51">
        <v>30</v>
      </c>
      <c r="G16" s="52"/>
      <c r="H16" s="61">
        <f>H15/('Income Statement'!H13+'Income Statement'!H27)*365</f>
        <v>11.366591080876796</v>
      </c>
      <c r="I16" s="52"/>
      <c r="J16" s="51">
        <v>30</v>
      </c>
      <c r="K16" s="51">
        <v>30</v>
      </c>
      <c r="L16" s="51">
        <v>30</v>
      </c>
      <c r="M16" s="51">
        <v>30</v>
      </c>
      <c r="N16" s="52"/>
      <c r="O16" s="61">
        <f>O15/('Income Statement'!O13+'Income Statement'!O27)*365</f>
        <v>13.441013198185555</v>
      </c>
      <c r="P16" s="52"/>
      <c r="Q16" s="51">
        <v>30</v>
      </c>
      <c r="R16" s="51">
        <v>30</v>
      </c>
      <c r="S16" s="51">
        <v>30</v>
      </c>
      <c r="T16" s="51">
        <v>30</v>
      </c>
      <c r="U16" s="52"/>
      <c r="V16" s="61">
        <f>V15/('Income Statement'!V13+'Income Statement'!V27)*365</f>
        <v>16.543937246600287</v>
      </c>
      <c r="W16" s="52"/>
      <c r="X16" s="51">
        <v>30</v>
      </c>
      <c r="Y16" s="51">
        <v>30</v>
      </c>
      <c r="Z16" s="51">
        <v>30</v>
      </c>
      <c r="AA16" s="51">
        <v>30</v>
      </c>
      <c r="AB16" s="52"/>
      <c r="AC16" s="61">
        <f>AC15/('Income Statement'!AC13+'Income Statement'!AC27)*365</f>
        <v>16.016331637814407</v>
      </c>
      <c r="AD16" s="52"/>
      <c r="AE16" s="51">
        <v>30</v>
      </c>
      <c r="AF16" s="51">
        <v>30</v>
      </c>
      <c r="AG16" s="51">
        <v>30</v>
      </c>
      <c r="AH16" s="51">
        <v>30</v>
      </c>
      <c r="AI16" s="52"/>
      <c r="AJ16" s="61">
        <f>AJ15/('Income Statement'!AJ13+'Income Statement'!AJ27)*365</f>
        <v>17.329635452394392</v>
      </c>
    </row>
    <row r="17" spans="2:36" x14ac:dyDescent="0.2">
      <c r="B17" s="5" t="s">
        <v>123</v>
      </c>
      <c r="C17" s="48">
        <f>'Income Statement'!C42*'Working Capital Assumptions'!C18</f>
        <v>437.5</v>
      </c>
      <c r="D17" s="48">
        <f>'Income Statement'!D42*'Working Capital Assumptions'!D18</f>
        <v>437.5</v>
      </c>
      <c r="E17" s="48">
        <f>'Income Statement'!E42*'Working Capital Assumptions'!E18</f>
        <v>3500</v>
      </c>
      <c r="F17" s="48">
        <f>'Income Statement'!F42*'Working Capital Assumptions'!F18</f>
        <v>875</v>
      </c>
      <c r="G17" s="49"/>
      <c r="H17" s="48">
        <f>F17</f>
        <v>875</v>
      </c>
      <c r="I17" s="49"/>
      <c r="J17" s="48">
        <f>'Income Statement'!J42*'Working Capital Assumptions'!J18</f>
        <v>18572.513716037567</v>
      </c>
      <c r="K17" s="48">
        <f>'Income Statement'!K42*'Working Capital Assumptions'!K18</f>
        <v>60531.471644544836</v>
      </c>
      <c r="L17" s="48">
        <f>'Income Statement'!L42*'Working Capital Assumptions'!L18</f>
        <v>141569.17334027577</v>
      </c>
      <c r="M17" s="48">
        <f>'Income Statement'!M42*'Working Capital Assumptions'!M18</f>
        <v>149945.81464962891</v>
      </c>
      <c r="N17" s="49"/>
      <c r="O17" s="48">
        <f>M17</f>
        <v>149945.81464962891</v>
      </c>
      <c r="P17" s="49"/>
      <c r="Q17" s="48">
        <f>'Income Statement'!Q42*'Working Capital Assumptions'!Q18</f>
        <v>267240.32523756922</v>
      </c>
      <c r="R17" s="48">
        <f>'Income Statement'!R42*'Working Capital Assumptions'!R18</f>
        <v>278135.0539335222</v>
      </c>
      <c r="S17" s="48">
        <f>'Income Statement'!S42*'Working Capital Assumptions'!S18</f>
        <v>294266.6922147575</v>
      </c>
      <c r="T17" s="48">
        <f>'Income Statement'!T42*'Working Capital Assumptions'!T18</f>
        <v>310752.99630191538</v>
      </c>
      <c r="U17" s="49"/>
      <c r="V17" s="48">
        <f>T17</f>
        <v>310752.99630191538</v>
      </c>
      <c r="W17" s="49"/>
      <c r="X17" s="48">
        <f>'Income Statement'!X42*'Working Capital Assumptions'!X18</f>
        <v>452337.96736754553</v>
      </c>
      <c r="Y17" s="48">
        <f>'Income Statement'!Y42*'Working Capital Assumptions'!Y18</f>
        <v>698345.82235904806</v>
      </c>
      <c r="Z17" s="48">
        <f>'Income Statement'!Z42*'Working Capital Assumptions'!Z18</f>
        <v>726429.63468525384</v>
      </c>
      <c r="AA17" s="48">
        <f>'Income Statement'!AA42*'Working Capital Assumptions'!AA18</f>
        <v>761313.89698305831</v>
      </c>
      <c r="AB17" s="49"/>
      <c r="AC17" s="48">
        <f>AA17</f>
        <v>761313.89698305831</v>
      </c>
      <c r="AD17" s="49"/>
      <c r="AE17" s="48">
        <f>'Income Statement'!AE42*'Working Capital Assumptions'!AE18</f>
        <v>883084.36076687765</v>
      </c>
      <c r="AF17" s="48">
        <f>'Income Statement'!AF42*'Working Capital Assumptions'!AF18</f>
        <v>923727.37247694982</v>
      </c>
      <c r="AG17" s="48">
        <f>'Income Statement'!AG42*'Working Capital Assumptions'!AG18</f>
        <v>973663.63964221219</v>
      </c>
      <c r="AH17" s="48">
        <f>'Income Statement'!AH42*'Working Capital Assumptions'!AH18</f>
        <v>1015637.3558606149</v>
      </c>
      <c r="AI17" s="49"/>
      <c r="AJ17" s="48">
        <f>AH17</f>
        <v>1015637.3558606149</v>
      </c>
    </row>
    <row r="18" spans="2:36" x14ac:dyDescent="0.2">
      <c r="B18" s="27" t="s">
        <v>124</v>
      </c>
      <c r="C18" s="68">
        <v>0.5</v>
      </c>
      <c r="D18" s="68">
        <v>0.5</v>
      </c>
      <c r="E18" s="68">
        <v>0.5</v>
      </c>
      <c r="F18" s="68">
        <v>0.5</v>
      </c>
      <c r="G18" s="52"/>
      <c r="H18" s="62">
        <f>IFERROR(H17/'Income Statement'!H42,0)</f>
        <v>8.3333333333333329E-2</v>
      </c>
      <c r="I18" s="52"/>
      <c r="J18" s="68">
        <v>0.5</v>
      </c>
      <c r="K18" s="68">
        <v>0.5</v>
      </c>
      <c r="L18" s="68">
        <v>0.5</v>
      </c>
      <c r="M18" s="68">
        <v>0.5</v>
      </c>
      <c r="N18" s="52"/>
      <c r="O18" s="62">
        <f>IFERROR(O17/'Income Statement'!O42,0)</f>
        <v>0.2022910663397528</v>
      </c>
      <c r="P18" s="52"/>
      <c r="Q18" s="68">
        <v>0.5</v>
      </c>
      <c r="R18" s="68">
        <v>0.5</v>
      </c>
      <c r="S18" s="68">
        <v>0.5</v>
      </c>
      <c r="T18" s="68">
        <v>0.5</v>
      </c>
      <c r="U18" s="52"/>
      <c r="V18" s="62">
        <f>IFERROR(V17/'Income Statement'!V42,0)</f>
        <v>0.13506359903233639</v>
      </c>
      <c r="W18" s="52"/>
      <c r="X18" s="68">
        <v>0.5</v>
      </c>
      <c r="Y18" s="68">
        <v>0.5</v>
      </c>
      <c r="Z18" s="68">
        <v>0.5</v>
      </c>
      <c r="AA18" s="68">
        <v>0.5</v>
      </c>
      <c r="AB18" s="52"/>
      <c r="AC18" s="62">
        <f>IFERROR(AC17/'Income Statement'!AC42,0)</f>
        <v>0.14427418386885121</v>
      </c>
      <c r="AD18" s="52"/>
      <c r="AE18" s="68">
        <v>0.5</v>
      </c>
      <c r="AF18" s="68">
        <v>0.5</v>
      </c>
      <c r="AG18" s="68">
        <v>0.5</v>
      </c>
      <c r="AH18" s="68">
        <v>0.5</v>
      </c>
      <c r="AI18" s="52"/>
      <c r="AJ18" s="62">
        <f>IFERROR(AJ17/'Income Statement'!AJ42,0)</f>
        <v>0.1337733397864535</v>
      </c>
    </row>
    <row r="19" spans="2:36" x14ac:dyDescent="0.2">
      <c r="B19" s="5" t="s">
        <v>102</v>
      </c>
      <c r="C19" s="48">
        <f>'Income Statement'!C$10*'Working Capital Assumptions'!C20</f>
        <v>17500</v>
      </c>
      <c r="D19" s="48">
        <f>'Income Statement'!D$10*'Working Capital Assumptions'!D20</f>
        <v>17500</v>
      </c>
      <c r="E19" s="48">
        <f>'Income Statement'!E$10*'Working Capital Assumptions'!E20</f>
        <v>35000</v>
      </c>
      <c r="F19" s="48">
        <f>'Income Statement'!F$10*'Working Capital Assumptions'!F20</f>
        <v>35000</v>
      </c>
      <c r="G19" s="49"/>
      <c r="H19" s="48">
        <f>SUM(C19:F19)</f>
        <v>105000</v>
      </c>
      <c r="I19" s="49"/>
      <c r="J19" s="48">
        <f>'Income Statement'!J$10*'Working Capital Assumptions'!J20</f>
        <v>97125</v>
      </c>
      <c r="K19" s="48">
        <f>'Income Statement'!K$10*'Working Capital Assumptions'!K20</f>
        <v>120750</v>
      </c>
      <c r="L19" s="48">
        <f>'Income Statement'!L$10*'Working Capital Assumptions'!L20</f>
        <v>162750</v>
      </c>
      <c r="M19" s="48">
        <f>'Income Statement'!M$10*'Working Capital Assumptions'!M20</f>
        <v>173250</v>
      </c>
      <c r="N19" s="49"/>
      <c r="O19" s="48">
        <f>SUM(J19:M19)</f>
        <v>553875</v>
      </c>
      <c r="P19" s="49"/>
      <c r="Q19" s="48">
        <f>'Income Statement'!Q$10*'Working Capital Assumptions'!Q20</f>
        <v>231525</v>
      </c>
      <c r="R19" s="48">
        <f>'Income Statement'!R$10*'Working Capital Assumptions'!R20</f>
        <v>242550</v>
      </c>
      <c r="S19" s="48">
        <f>'Income Statement'!S$10*'Working Capital Assumptions'!S20</f>
        <v>259087.5</v>
      </c>
      <c r="T19" s="48">
        <f>'Income Statement'!T$10*'Working Capital Assumptions'!T20</f>
        <v>275625</v>
      </c>
      <c r="U19" s="49"/>
      <c r="V19" s="48">
        <f>SUM(Q19:T19)</f>
        <v>1008787.5</v>
      </c>
      <c r="W19" s="49"/>
      <c r="X19" s="48">
        <f>'Income Statement'!X$10*'Working Capital Assumptions'!X20</f>
        <v>408062.8125</v>
      </c>
      <c r="Y19" s="48">
        <f>'Income Statement'!Y$10*'Working Capital Assumptions'!Y20</f>
        <v>532507.5</v>
      </c>
      <c r="Z19" s="48">
        <f>'Income Statement'!Z$10*'Working Capital Assumptions'!Z20</f>
        <v>555660</v>
      </c>
      <c r="AA19" s="48">
        <f>'Income Statement'!AA$10*'Working Capital Assumptions'!AA20</f>
        <v>584600.625</v>
      </c>
      <c r="AB19" s="49"/>
      <c r="AC19" s="48">
        <f>SUM(X19:AA19)</f>
        <v>2080830.9375</v>
      </c>
      <c r="AD19" s="49"/>
      <c r="AE19" s="48">
        <f>'Income Statement'!AE$10*'Working Capital Assumptions'!AE20</f>
        <v>644218.3125</v>
      </c>
      <c r="AF19" s="48">
        <f>'Income Statement'!AF$10*'Working Capital Assumptions'!AF20</f>
        <v>674605.96875</v>
      </c>
      <c r="AG19" s="48">
        <f>'Income Statement'!AG$10*'Working Capital Assumptions'!AG20</f>
        <v>704993.625</v>
      </c>
      <c r="AH19" s="48">
        <f>'Income Statement'!AH$10*'Working Capital Assumptions'!AH20</f>
        <v>735381.28125</v>
      </c>
      <c r="AI19" s="49"/>
      <c r="AJ19" s="48">
        <f>SUM(AE19:AH19)</f>
        <v>2759199.1875</v>
      </c>
    </row>
    <row r="20" spans="2:36" x14ac:dyDescent="0.2">
      <c r="B20" s="27" t="s">
        <v>57</v>
      </c>
      <c r="C20" s="54">
        <v>0.05</v>
      </c>
      <c r="D20" s="54">
        <v>0.05</v>
      </c>
      <c r="E20" s="54">
        <v>0.05</v>
      </c>
      <c r="F20" s="54">
        <v>0.05</v>
      </c>
      <c r="G20" s="52"/>
      <c r="H20" s="55">
        <f>H19/'Income Statement'!H$10</f>
        <v>0.05</v>
      </c>
      <c r="I20" s="52"/>
      <c r="J20" s="54">
        <v>0.05</v>
      </c>
      <c r="K20" s="54">
        <v>0.05</v>
      </c>
      <c r="L20" s="54">
        <v>0.05</v>
      </c>
      <c r="M20" s="54">
        <v>0.05</v>
      </c>
      <c r="N20" s="52"/>
      <c r="O20" s="55">
        <f>O19/'Income Statement'!O$10</f>
        <v>0.05</v>
      </c>
      <c r="P20" s="52"/>
      <c r="Q20" s="54">
        <v>0.05</v>
      </c>
      <c r="R20" s="54">
        <v>0.05</v>
      </c>
      <c r="S20" s="54">
        <v>0.05</v>
      </c>
      <c r="T20" s="54">
        <v>0.05</v>
      </c>
      <c r="U20" s="52"/>
      <c r="V20" s="55">
        <f>V19/'Income Statement'!V$10</f>
        <v>0.05</v>
      </c>
      <c r="W20" s="52"/>
      <c r="X20" s="54">
        <v>0.05</v>
      </c>
      <c r="Y20" s="54">
        <v>0.05</v>
      </c>
      <c r="Z20" s="54">
        <v>0.05</v>
      </c>
      <c r="AA20" s="54">
        <v>0.05</v>
      </c>
      <c r="AB20" s="52"/>
      <c r="AC20" s="55">
        <f>AC19/'Income Statement'!AC$10</f>
        <v>0.05</v>
      </c>
      <c r="AD20" s="52"/>
      <c r="AE20" s="54">
        <v>0.05</v>
      </c>
      <c r="AF20" s="54">
        <v>0.05</v>
      </c>
      <c r="AG20" s="54">
        <v>0.05</v>
      </c>
      <c r="AH20" s="54">
        <v>0.05</v>
      </c>
      <c r="AI20" s="52"/>
      <c r="AJ20" s="55">
        <f>AJ19/'Income Statement'!AJ$10</f>
        <v>0.05</v>
      </c>
    </row>
    <row r="21" spans="2:36" x14ac:dyDescent="0.2">
      <c r="B21" s="23" t="s">
        <v>125</v>
      </c>
      <c r="C21" s="56">
        <f>C15+C19+C17</f>
        <v>49981.944444444445</v>
      </c>
      <c r="D21" s="56">
        <f t="shared" ref="D21:AJ21" si="14">D15+D19+D17</f>
        <v>49981.944444444445</v>
      </c>
      <c r="E21" s="56">
        <f t="shared" si="14"/>
        <v>95588.888888888891</v>
      </c>
      <c r="F21" s="57">
        <f t="shared" si="14"/>
        <v>99963.888888888891</v>
      </c>
      <c r="G21" s="58"/>
      <c r="H21" s="59">
        <f t="shared" si="14"/>
        <v>169963.88888888888</v>
      </c>
      <c r="I21" s="49"/>
      <c r="J21" s="60">
        <f t="shared" si="14"/>
        <v>300954.458160482</v>
      </c>
      <c r="K21" s="56">
        <f t="shared" si="14"/>
        <v>396200.9160889893</v>
      </c>
      <c r="L21" s="56">
        <f t="shared" si="14"/>
        <v>567538.61778472015</v>
      </c>
      <c r="M21" s="57">
        <f t="shared" si="14"/>
        <v>602515.25909407332</v>
      </c>
      <c r="N21" s="58"/>
      <c r="O21" s="59">
        <f t="shared" si="14"/>
        <v>983140.25909407344</v>
      </c>
      <c r="P21" s="49"/>
      <c r="Q21" s="60">
        <f t="shared" si="14"/>
        <v>844375.54745979141</v>
      </c>
      <c r="R21" s="56">
        <f t="shared" si="14"/>
        <v>882134.52615574445</v>
      </c>
      <c r="S21" s="56">
        <f t="shared" si="14"/>
        <v>938562.53943697968</v>
      </c>
      <c r="T21" s="57">
        <f t="shared" si="14"/>
        <v>995345.21852413763</v>
      </c>
      <c r="U21" s="58"/>
      <c r="V21" s="59">
        <f t="shared" si="14"/>
        <v>1728507.7185241375</v>
      </c>
      <c r="W21" s="49"/>
      <c r="X21" s="60">
        <f t="shared" si="14"/>
        <v>1396512.8520897678</v>
      </c>
      <c r="Y21" s="56">
        <f t="shared" si="14"/>
        <v>1887435.5695812705</v>
      </c>
      <c r="Z21" s="56">
        <f t="shared" si="14"/>
        <v>1966146.1819074759</v>
      </c>
      <c r="AA21" s="57">
        <f t="shared" si="14"/>
        <v>2064313.9442052804</v>
      </c>
      <c r="AB21" s="58"/>
      <c r="AC21" s="59">
        <f t="shared" si="14"/>
        <v>3560544.2567052804</v>
      </c>
      <c r="AD21" s="49"/>
      <c r="AE21" s="60">
        <f t="shared" si="14"/>
        <v>2293740.8068779884</v>
      </c>
      <c r="AF21" s="56">
        <f t="shared" si="14"/>
        <v>2399818.5717130611</v>
      </c>
      <c r="AG21" s="56">
        <f t="shared" si="14"/>
        <v>2491689.8045033235</v>
      </c>
      <c r="AH21" s="57">
        <f t="shared" si="14"/>
        <v>2598085.3519717259</v>
      </c>
      <c r="AI21" s="58"/>
      <c r="AJ21" s="59">
        <f t="shared" si="14"/>
        <v>4621903.2582217259</v>
      </c>
    </row>
    <row r="22" spans="2:36" ht="16" thickBot="1" x14ac:dyDescent="0.25"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</row>
    <row r="23" spans="2:36" ht="16" thickBot="1" x14ac:dyDescent="0.25">
      <c r="B23" s="10" t="s">
        <v>126</v>
      </c>
      <c r="C23" s="63">
        <f>C11-C21</f>
        <v>84184.722222222248</v>
      </c>
      <c r="D23" s="63">
        <f t="shared" ref="D23:H23" si="15">D11-D21</f>
        <v>84184.722222222248</v>
      </c>
      <c r="E23" s="63">
        <f t="shared" si="15"/>
        <v>172744.4444444445</v>
      </c>
      <c r="F23" s="64">
        <f t="shared" si="15"/>
        <v>168369.4444444445</v>
      </c>
      <c r="G23" s="65"/>
      <c r="H23" s="64">
        <f t="shared" si="15"/>
        <v>168369.4444444445</v>
      </c>
      <c r="I23" s="49"/>
      <c r="J23" s="66">
        <f>J11-J21</f>
        <v>443670.541839518</v>
      </c>
      <c r="K23" s="63">
        <f t="shared" ref="K23:O23" si="16">K11-K21</f>
        <v>529549.08391101076</v>
      </c>
      <c r="L23" s="63">
        <f t="shared" si="16"/>
        <v>680211.38221527985</v>
      </c>
      <c r="M23" s="64">
        <f t="shared" si="16"/>
        <v>725734.74090592668</v>
      </c>
      <c r="N23" s="49"/>
      <c r="O23" s="67">
        <f t="shared" si="16"/>
        <v>725734.74090592656</v>
      </c>
      <c r="P23" s="49"/>
      <c r="Q23" s="66">
        <f>Q11-Q21</f>
        <v>930649.45254020859</v>
      </c>
      <c r="R23" s="63">
        <f t="shared" ref="R23:V23" si="17">R11-R21</f>
        <v>977415.47384425555</v>
      </c>
      <c r="S23" s="63">
        <f t="shared" si="17"/>
        <v>1047774.9605630203</v>
      </c>
      <c r="T23" s="64">
        <f t="shared" si="17"/>
        <v>1117779.7814758625</v>
      </c>
      <c r="U23" s="49"/>
      <c r="V23" s="67">
        <f t="shared" si="17"/>
        <v>1117779.7814758625</v>
      </c>
      <c r="W23" s="49"/>
      <c r="X23" s="66">
        <f>X11-X21</f>
        <v>1731968.7104102322</v>
      </c>
      <c r="Y23" s="63">
        <f t="shared" ref="Y23:AC23" si="18">Y11-Y21</f>
        <v>2195121.9304187298</v>
      </c>
      <c r="Z23" s="63">
        <f t="shared" si="18"/>
        <v>2293913.8180925241</v>
      </c>
      <c r="AA23" s="64">
        <f t="shared" si="18"/>
        <v>2417624.1807947196</v>
      </c>
      <c r="AB23" s="49"/>
      <c r="AC23" s="67">
        <f t="shared" si="18"/>
        <v>2417624.1807947196</v>
      </c>
      <c r="AD23" s="49"/>
      <c r="AE23" s="66">
        <f>AE11-AE21</f>
        <v>2645266.2556220116</v>
      </c>
      <c r="AF23" s="63">
        <f t="shared" ref="AF23:AJ23" si="19">AF11-AF21</f>
        <v>2772160.5220369389</v>
      </c>
      <c r="AG23" s="63">
        <f t="shared" si="19"/>
        <v>2913261.3204966765</v>
      </c>
      <c r="AH23" s="64">
        <f t="shared" si="19"/>
        <v>3039837.8042782741</v>
      </c>
      <c r="AI23" s="49"/>
      <c r="AJ23" s="67">
        <f t="shared" si="19"/>
        <v>3039837.8042782741</v>
      </c>
    </row>
    <row r="24" spans="2:36" x14ac:dyDescent="0.2"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</row>
    <row r="25" spans="2:36" x14ac:dyDescent="0.2">
      <c r="B25" s="23" t="s">
        <v>127</v>
      </c>
      <c r="C25" s="56">
        <f>C23</f>
        <v>84184.722222222248</v>
      </c>
      <c r="D25" s="56">
        <f>D23-C23</f>
        <v>0</v>
      </c>
      <c r="E25" s="56">
        <f t="shared" ref="E25:F25" si="20">E23-D23</f>
        <v>88559.722222222248</v>
      </c>
      <c r="F25" s="57">
        <f t="shared" si="20"/>
        <v>-4375</v>
      </c>
      <c r="G25" s="58"/>
      <c r="H25" s="59">
        <f>H23</f>
        <v>168369.4444444445</v>
      </c>
      <c r="I25" s="49"/>
      <c r="J25" s="60">
        <f>J23-F23</f>
        <v>275301.09739507351</v>
      </c>
      <c r="K25" s="56">
        <f t="shared" ref="K25:M25" si="21">K23-G23</f>
        <v>529549.08391101076</v>
      </c>
      <c r="L25" s="56">
        <f t="shared" si="21"/>
        <v>511841.93777083536</v>
      </c>
      <c r="M25" s="57">
        <f t="shared" si="21"/>
        <v>725734.74090592668</v>
      </c>
      <c r="N25" s="58"/>
      <c r="O25" s="59">
        <f>(O23-H23)</f>
        <v>557365.29646148207</v>
      </c>
      <c r="P25" s="49"/>
      <c r="Q25" s="60">
        <f>Q23-M23</f>
        <v>204914.71163428191</v>
      </c>
      <c r="R25" s="56">
        <f t="shared" ref="R25:T25" si="22">R23-N23</f>
        <v>977415.47384425555</v>
      </c>
      <c r="S25" s="56">
        <f t="shared" si="22"/>
        <v>322040.21965709375</v>
      </c>
      <c r="T25" s="57">
        <f t="shared" si="22"/>
        <v>1117779.7814758625</v>
      </c>
      <c r="U25" s="58"/>
      <c r="V25" s="59">
        <f>V23-O23</f>
        <v>392045.04056993593</v>
      </c>
      <c r="W25" s="49"/>
      <c r="X25" s="60">
        <f>X23-T23</f>
        <v>614188.9289343697</v>
      </c>
      <c r="Y25" s="56">
        <f t="shared" ref="Y25:AA25" si="23">Y23-U23</f>
        <v>2195121.9304187298</v>
      </c>
      <c r="Z25" s="56">
        <f t="shared" si="23"/>
        <v>1176134.0366166616</v>
      </c>
      <c r="AA25" s="57">
        <f t="shared" si="23"/>
        <v>2417624.1807947196</v>
      </c>
      <c r="AB25" s="58"/>
      <c r="AC25" s="59">
        <f>AC23-V23</f>
        <v>1299844.3993188571</v>
      </c>
      <c r="AD25" s="49"/>
      <c r="AE25" s="60">
        <f>AE23-AA23</f>
        <v>227642.074827292</v>
      </c>
      <c r="AF25" s="56">
        <f t="shared" ref="AF25:AH25" si="24">AF23-AB23</f>
        <v>2772160.5220369389</v>
      </c>
      <c r="AG25" s="56">
        <f t="shared" si="24"/>
        <v>495637.13970195688</v>
      </c>
      <c r="AH25" s="57">
        <f t="shared" si="24"/>
        <v>3039837.8042782741</v>
      </c>
      <c r="AI25" s="58"/>
      <c r="AJ25" s="59">
        <f>AJ23-AC23</f>
        <v>622213.62348355446</v>
      </c>
    </row>
    <row r="27" spans="2:36" x14ac:dyDescent="0.2">
      <c r="B27" s="8"/>
      <c r="C27" s="9"/>
      <c r="D27" s="9"/>
      <c r="E27" s="9"/>
      <c r="F27" s="9"/>
      <c r="H27" s="9"/>
      <c r="J27" s="9"/>
      <c r="K27" s="9"/>
      <c r="L27" s="9"/>
      <c r="M27" s="9"/>
      <c r="O27" s="9"/>
      <c r="Q27" s="9"/>
      <c r="R27" s="9"/>
      <c r="S27" s="9"/>
      <c r="T27" s="9"/>
      <c r="V27" s="9"/>
      <c r="X27" s="9"/>
      <c r="Y27" s="9"/>
      <c r="Z27" s="9"/>
      <c r="AA27" s="9"/>
      <c r="AC27" s="9"/>
      <c r="AE27" s="9"/>
      <c r="AF27" s="9"/>
      <c r="AG27" s="9"/>
      <c r="AH27" s="9"/>
      <c r="AJ27" s="9"/>
    </row>
    <row r="28" spans="2:36" x14ac:dyDescent="0.2">
      <c r="B28" s="27"/>
      <c r="C28" s="47"/>
      <c r="D28" s="47"/>
      <c r="E28" s="47"/>
      <c r="F28" s="47"/>
      <c r="H28" s="47"/>
      <c r="J28" s="47"/>
      <c r="K28" s="47"/>
      <c r="L28" s="47"/>
      <c r="M28" s="47"/>
      <c r="O28" s="47"/>
      <c r="Q28" s="47"/>
      <c r="R28" s="47"/>
      <c r="S28" s="47"/>
      <c r="T28" s="47"/>
      <c r="V28" s="47"/>
      <c r="X28" s="47"/>
      <c r="Y28" s="47"/>
      <c r="Z28" s="47"/>
      <c r="AA28" s="47"/>
      <c r="AC28" s="47"/>
      <c r="AE28" s="47"/>
      <c r="AF28" s="47"/>
      <c r="AG28" s="47"/>
      <c r="AH28" s="47"/>
      <c r="AJ28" s="47"/>
    </row>
    <row r="30" spans="2:36" x14ac:dyDescent="0.2">
      <c r="C30" s="7"/>
      <c r="D30" s="7"/>
      <c r="E30" s="7"/>
      <c r="F30" s="7"/>
      <c r="H30" s="7"/>
      <c r="J30" s="7"/>
      <c r="K30" s="7"/>
      <c r="L30" s="7"/>
      <c r="M30" s="7"/>
      <c r="O30" s="7"/>
      <c r="Q30" s="7"/>
      <c r="R30" s="7"/>
      <c r="S30" s="7"/>
      <c r="T30" s="7"/>
      <c r="V30" s="7"/>
      <c r="X30" s="7"/>
      <c r="Y30" s="7"/>
      <c r="Z30" s="7"/>
      <c r="AA30" s="7"/>
      <c r="AC30" s="7"/>
      <c r="AE30" s="7"/>
      <c r="AF30" s="7"/>
      <c r="AG30" s="7"/>
      <c r="AH30" s="7"/>
      <c r="AJ30" s="7"/>
    </row>
    <row r="31" spans="2:36" x14ac:dyDescent="0.2">
      <c r="B31" s="8"/>
      <c r="C31" s="9"/>
      <c r="D31" s="9"/>
      <c r="E31" s="9"/>
      <c r="F31" s="9"/>
      <c r="H31" s="9"/>
      <c r="J31" s="9"/>
      <c r="K31" s="9"/>
      <c r="L31" s="9"/>
      <c r="M31" s="9"/>
      <c r="O31" s="9"/>
      <c r="Q31" s="9"/>
      <c r="R31" s="9"/>
      <c r="S31" s="9"/>
      <c r="T31" s="9"/>
      <c r="V31" s="9"/>
      <c r="X31" s="9"/>
      <c r="Y31" s="9"/>
      <c r="Z31" s="9"/>
      <c r="AA31" s="9"/>
      <c r="AC31" s="9"/>
      <c r="AE31" s="9"/>
      <c r="AF31" s="9"/>
      <c r="AG31" s="9"/>
      <c r="AH31" s="9"/>
      <c r="AJ31" s="9"/>
    </row>
    <row r="32" spans="2:36" x14ac:dyDescent="0.2">
      <c r="B32" s="27"/>
      <c r="C32" s="47"/>
      <c r="D32" s="47"/>
      <c r="E32" s="47"/>
      <c r="F32" s="47"/>
      <c r="H32" s="47"/>
      <c r="J32" s="47"/>
      <c r="K32" s="47"/>
      <c r="L32" s="47"/>
      <c r="M32" s="47"/>
      <c r="O32" s="47"/>
      <c r="Q32" s="47"/>
      <c r="R32" s="47"/>
      <c r="S32" s="47"/>
      <c r="T32" s="47"/>
      <c r="V32" s="47"/>
      <c r="X32" s="47"/>
      <c r="Y32" s="47"/>
      <c r="Z32" s="47"/>
      <c r="AA32" s="47"/>
      <c r="AC32" s="47"/>
      <c r="AE32" s="47"/>
      <c r="AF32" s="47"/>
      <c r="AG32" s="47"/>
      <c r="AH32" s="47"/>
      <c r="AJ32" s="47"/>
    </row>
    <row r="34" spans="2:36" x14ac:dyDescent="0.2">
      <c r="C34" s="7"/>
      <c r="D34" s="7"/>
      <c r="E34" s="7"/>
      <c r="F34" s="7"/>
      <c r="H34" s="7"/>
      <c r="J34" s="7"/>
      <c r="K34" s="7"/>
      <c r="L34" s="7"/>
      <c r="M34" s="7"/>
      <c r="O34" s="7"/>
      <c r="Q34" s="7"/>
      <c r="R34" s="7"/>
      <c r="S34" s="7"/>
      <c r="T34" s="7"/>
      <c r="V34" s="7"/>
      <c r="X34" s="7"/>
      <c r="Y34" s="7"/>
      <c r="Z34" s="7"/>
      <c r="AA34" s="7"/>
      <c r="AC34" s="7"/>
      <c r="AE34" s="7"/>
      <c r="AF34" s="7"/>
      <c r="AG34" s="7"/>
      <c r="AH34" s="7"/>
      <c r="AJ34" s="7"/>
    </row>
    <row r="35" spans="2:36" x14ac:dyDescent="0.2">
      <c r="C35" s="7"/>
      <c r="D35" s="7"/>
      <c r="E35" s="7"/>
      <c r="F35" s="7"/>
      <c r="H35" s="7"/>
      <c r="J35" s="7"/>
      <c r="K35" s="7"/>
      <c r="L35" s="7"/>
      <c r="M35" s="7"/>
      <c r="O35" s="7"/>
      <c r="Q35" s="7"/>
      <c r="R35" s="7"/>
      <c r="S35" s="7"/>
      <c r="T35" s="7"/>
      <c r="V35" s="7"/>
      <c r="X35" s="7"/>
      <c r="Y35" s="7"/>
      <c r="Z35" s="7"/>
      <c r="AA35" s="7"/>
      <c r="AC35" s="7"/>
      <c r="AE35" s="7"/>
      <c r="AF35" s="7"/>
      <c r="AG35" s="7"/>
      <c r="AH35" s="7"/>
      <c r="AJ35" s="7"/>
    </row>
    <row r="36" spans="2:36" x14ac:dyDescent="0.2">
      <c r="B36" s="8"/>
      <c r="C36" s="9"/>
      <c r="D36" s="9"/>
      <c r="E36" s="9"/>
      <c r="F36" s="9"/>
      <c r="H36" s="9"/>
      <c r="J36" s="9"/>
      <c r="K36" s="9"/>
      <c r="L36" s="9"/>
      <c r="M36" s="9"/>
      <c r="O36" s="9"/>
      <c r="Q36" s="9"/>
      <c r="R36" s="9"/>
      <c r="S36" s="9"/>
      <c r="T36" s="9"/>
      <c r="V36" s="9"/>
      <c r="X36" s="9"/>
      <c r="Y36" s="9"/>
      <c r="Z36" s="9"/>
      <c r="AA36" s="9"/>
      <c r="AC36" s="9"/>
      <c r="AE36" s="9"/>
      <c r="AF36" s="9"/>
      <c r="AG36" s="9"/>
      <c r="AH36" s="9"/>
      <c r="AJ36" s="9"/>
    </row>
    <row r="37" spans="2:36" x14ac:dyDescent="0.2">
      <c r="B37" s="27"/>
      <c r="C37" s="47"/>
      <c r="D37" s="47"/>
      <c r="E37" s="47"/>
      <c r="F37" s="47"/>
      <c r="H37" s="47"/>
      <c r="J37" s="47"/>
      <c r="K37" s="47"/>
      <c r="L37" s="47"/>
      <c r="M37" s="47"/>
      <c r="O37" s="47"/>
      <c r="Q37" s="47"/>
      <c r="R37" s="47"/>
      <c r="S37" s="47"/>
      <c r="T37" s="47"/>
      <c r="V37" s="47"/>
      <c r="X37" s="47"/>
      <c r="Y37" s="47"/>
      <c r="Z37" s="47"/>
      <c r="AA37" s="47"/>
      <c r="AC37" s="47"/>
      <c r="AE37" s="47"/>
      <c r="AF37" s="47"/>
      <c r="AG37" s="47"/>
      <c r="AH37" s="47"/>
      <c r="AJ37" s="47"/>
    </row>
    <row r="39" spans="2:36" x14ac:dyDescent="0.2">
      <c r="C39" s="7"/>
      <c r="D39" s="7"/>
      <c r="E39" s="7"/>
      <c r="F39" s="7"/>
      <c r="H39" s="7"/>
      <c r="J39" s="7"/>
      <c r="K39" s="7"/>
      <c r="L39" s="7"/>
      <c r="M39" s="7"/>
      <c r="O39" s="7"/>
      <c r="Q39" s="7"/>
      <c r="R39" s="7"/>
      <c r="S39" s="7"/>
      <c r="T39" s="7"/>
      <c r="V39" s="7"/>
      <c r="X39" s="7"/>
      <c r="Y39" s="7"/>
      <c r="Z39" s="7"/>
      <c r="AA39" s="7"/>
      <c r="AC39" s="7"/>
      <c r="AE39" s="7"/>
      <c r="AF39" s="7"/>
      <c r="AG39" s="7"/>
      <c r="AH39" s="7"/>
      <c r="AJ39" s="7"/>
    </row>
    <row r="40" spans="2:36" x14ac:dyDescent="0.2">
      <c r="B40" s="8"/>
      <c r="C40" s="9"/>
      <c r="D40" s="9"/>
      <c r="E40" s="9"/>
      <c r="F40" s="9"/>
      <c r="H40" s="9"/>
      <c r="J40" s="9"/>
      <c r="K40" s="9"/>
      <c r="L40" s="9"/>
      <c r="M40" s="9"/>
      <c r="O40" s="9"/>
      <c r="Q40" s="9"/>
      <c r="R40" s="9"/>
      <c r="S40" s="9"/>
      <c r="T40" s="9"/>
      <c r="V40" s="9"/>
      <c r="X40" s="9"/>
      <c r="Y40" s="9"/>
      <c r="Z40" s="9"/>
      <c r="AA40" s="9"/>
      <c r="AC40" s="9"/>
      <c r="AE40" s="9"/>
      <c r="AF40" s="9"/>
      <c r="AG40" s="9"/>
      <c r="AH40" s="9"/>
      <c r="AJ40" s="9"/>
    </row>
    <row r="41" spans="2:36" x14ac:dyDescent="0.2">
      <c r="B41" s="27"/>
      <c r="C41" s="47"/>
      <c r="D41" s="47"/>
      <c r="E41" s="47"/>
      <c r="F41" s="47"/>
      <c r="H41" s="47"/>
      <c r="J41" s="47"/>
      <c r="K41" s="47"/>
      <c r="L41" s="47"/>
      <c r="M41" s="47"/>
      <c r="O41" s="47"/>
      <c r="Q41" s="47"/>
      <c r="R41" s="47"/>
      <c r="S41" s="47"/>
      <c r="T41" s="47"/>
      <c r="V41" s="47"/>
      <c r="X41" s="47"/>
      <c r="Y41" s="47"/>
      <c r="Z41" s="47"/>
      <c r="AA41" s="47"/>
      <c r="AC41" s="47"/>
      <c r="AE41" s="47"/>
      <c r="AF41" s="47"/>
      <c r="AG41" s="47"/>
      <c r="AH41" s="47"/>
      <c r="AJ41" s="47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FD3E8-086C-4347-8ED6-F2E35107A249}">
  <sheetPr>
    <tabColor rgb="FF00B050"/>
  </sheetPr>
  <dimension ref="B1:AJ23"/>
  <sheetViews>
    <sheetView showGridLines="0" zoomScale="85" zoomScaleNormal="8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20" sqref="A20"/>
    </sheetView>
  </sheetViews>
  <sheetFormatPr baseColWidth="10" defaultColWidth="10.5" defaultRowHeight="15" x14ac:dyDescent="0.2"/>
  <cols>
    <col min="1" max="1" width="4.5" style="5" customWidth="1"/>
    <col min="2" max="2" width="48.1640625" style="5" bestFit="1" customWidth="1"/>
    <col min="3" max="6" width="10.83203125" style="5" bestFit="1" customWidth="1"/>
    <col min="7" max="7" width="2.5" style="5" customWidth="1"/>
    <col min="8" max="8" width="10.5" style="5" bestFit="1" customWidth="1"/>
    <col min="9" max="9" width="2.5" style="5" customWidth="1"/>
    <col min="10" max="11" width="10.83203125" style="5" bestFit="1" customWidth="1"/>
    <col min="12" max="13" width="11.5" style="5" bestFit="1" customWidth="1"/>
    <col min="14" max="14" width="2.5" style="5" customWidth="1"/>
    <col min="15" max="15" width="11.5" style="5" bestFit="1" customWidth="1"/>
    <col min="16" max="16" width="2.5" style="5" customWidth="1"/>
    <col min="17" max="20" width="11.5" style="5" bestFit="1" customWidth="1"/>
    <col min="21" max="21" width="2.5" style="5" customWidth="1"/>
    <col min="22" max="22" width="11.5" style="5" bestFit="1" customWidth="1"/>
    <col min="23" max="23" width="2.5" style="5" customWidth="1"/>
    <col min="24" max="27" width="11.5" style="5" bestFit="1" customWidth="1"/>
    <col min="28" max="28" width="2.5" style="5" customWidth="1"/>
    <col min="29" max="29" width="11.5" style="5" bestFit="1" customWidth="1"/>
    <col min="30" max="30" width="2.5" style="5" customWidth="1"/>
    <col min="31" max="34" width="11.5" style="5" bestFit="1" customWidth="1"/>
    <col min="35" max="35" width="2.5" style="5" customWidth="1"/>
    <col min="36" max="36" width="11.5" style="5" bestFit="1" customWidth="1"/>
    <col min="37" max="16384" width="10.5" style="5"/>
  </cols>
  <sheetData>
    <row r="1" spans="2:36" ht="20" x14ac:dyDescent="0.25">
      <c r="B1" s="34" t="s">
        <v>92</v>
      </c>
    </row>
    <row r="2" spans="2:36" x14ac:dyDescent="0.2">
      <c r="B2" s="8" t="str">
        <f>'Assumption Sheet'!B2</f>
        <v>Updated on 01 Feb 2026</v>
      </c>
    </row>
    <row r="6" spans="2:36" x14ac:dyDescent="0.2">
      <c r="B6" s="20" t="s">
        <v>0</v>
      </c>
      <c r="C6" s="4" t="str">
        <f>'P&amp;L Assumption Sheet'!C6</f>
        <v>FY26-27 Q1</v>
      </c>
      <c r="D6" s="4" t="str">
        <f>'P&amp;L Assumption Sheet'!D6</f>
        <v>FY26-27 Q2</v>
      </c>
      <c r="E6" s="4" t="str">
        <f>'P&amp;L Assumption Sheet'!E6</f>
        <v>FY26-27 Q3</v>
      </c>
      <c r="F6" s="4" t="str">
        <f>'P&amp;L Assumption Sheet'!F6</f>
        <v>FY26-27 Q4</v>
      </c>
      <c r="G6" s="1"/>
      <c r="H6" s="2" t="str">
        <f>'P&amp;L Assumption Sheet'!H6</f>
        <v>FY26-27</v>
      </c>
      <c r="I6" s="1"/>
      <c r="J6" s="4" t="str">
        <f>'P&amp;L Assumption Sheet'!J6</f>
        <v>FY27-28 Q1</v>
      </c>
      <c r="K6" s="4" t="str">
        <f>'P&amp;L Assumption Sheet'!K6</f>
        <v>FY27-28 Q2</v>
      </c>
      <c r="L6" s="4" t="str">
        <f>'P&amp;L Assumption Sheet'!L6</f>
        <v>FY27-28 Q3</v>
      </c>
      <c r="M6" s="4" t="str">
        <f>'P&amp;L Assumption Sheet'!M6</f>
        <v>FY27-28 Q4</v>
      </c>
      <c r="N6" s="1"/>
      <c r="O6" s="2" t="str">
        <f>'P&amp;L Assumption Sheet'!O6</f>
        <v>FY27-28</v>
      </c>
      <c r="P6" s="1"/>
      <c r="Q6" s="4" t="str">
        <f>'P&amp;L Assumption Sheet'!Q6</f>
        <v>FY28-29 Q1</v>
      </c>
      <c r="R6" s="4" t="str">
        <f>'P&amp;L Assumption Sheet'!R6</f>
        <v>FY28-29 Q2</v>
      </c>
      <c r="S6" s="4" t="str">
        <f>'P&amp;L Assumption Sheet'!S6</f>
        <v>FY28-29 Q3</v>
      </c>
      <c r="T6" s="4" t="str">
        <f>'P&amp;L Assumption Sheet'!T6</f>
        <v>FY28-29 Q4</v>
      </c>
      <c r="U6" s="1"/>
      <c r="V6" s="2" t="str">
        <f>'P&amp;L Assumption Sheet'!V6</f>
        <v>FY28-29</v>
      </c>
      <c r="W6" s="1"/>
      <c r="X6" s="4" t="str">
        <f>'P&amp;L Assumption Sheet'!X6</f>
        <v>FY29-30 Q1</v>
      </c>
      <c r="Y6" s="4" t="str">
        <f>'P&amp;L Assumption Sheet'!Y6</f>
        <v>FY29-30 Q2</v>
      </c>
      <c r="Z6" s="4" t="str">
        <f>'P&amp;L Assumption Sheet'!Z6</f>
        <v>FY29-30 Q3</v>
      </c>
      <c r="AA6" s="4" t="str">
        <f>'P&amp;L Assumption Sheet'!AA6</f>
        <v>FY29-30 Q4</v>
      </c>
      <c r="AB6" s="3"/>
      <c r="AC6" s="2" t="str">
        <f>'P&amp;L Assumption Sheet'!AC6</f>
        <v>FY29-30</v>
      </c>
      <c r="AD6" s="1"/>
      <c r="AE6" s="4" t="str">
        <f>'P&amp;L Assumption Sheet'!AE6</f>
        <v>FY30-31 Q1</v>
      </c>
      <c r="AF6" s="4" t="str">
        <f>'P&amp;L Assumption Sheet'!AF6</f>
        <v>FY30-31 Q2</v>
      </c>
      <c r="AG6" s="4" t="str">
        <f>'P&amp;L Assumption Sheet'!AG6</f>
        <v>FY30-31 Q3</v>
      </c>
      <c r="AH6" s="4" t="str">
        <f>'P&amp;L Assumption Sheet'!AH6</f>
        <v>FY30-31 Q4</v>
      </c>
      <c r="AI6" s="1"/>
      <c r="AJ6" s="2" t="str">
        <f>'P&amp;L Assumption Sheet'!AJ6</f>
        <v>FY30-31</v>
      </c>
    </row>
    <row r="7" spans="2:36" x14ac:dyDescent="0.2">
      <c r="B7" s="6" t="s">
        <v>144</v>
      </c>
    </row>
    <row r="8" spans="2:36" x14ac:dyDescent="0.2">
      <c r="B8" s="5" t="s">
        <v>33</v>
      </c>
      <c r="C8" s="5">
        <f>'P&amp;L Assumption Sheet'!C8</f>
        <v>0</v>
      </c>
      <c r="D8" s="5">
        <f>'P&amp;L Assumption Sheet'!D8</f>
        <v>0</v>
      </c>
      <c r="E8" s="5">
        <f>'P&amp;L Assumption Sheet'!E8</f>
        <v>0</v>
      </c>
      <c r="F8" s="5">
        <f>'P&amp;L Assumption Sheet'!F8</f>
        <v>0</v>
      </c>
      <c r="H8" s="5">
        <f>'P&amp;L Assumption Sheet'!H8</f>
        <v>0</v>
      </c>
      <c r="J8" s="5">
        <f>'P&amp;L Assumption Sheet'!J8</f>
        <v>5</v>
      </c>
      <c r="K8" s="5">
        <f>'P&amp;L Assumption Sheet'!K8</f>
        <v>5</v>
      </c>
      <c r="L8" s="5">
        <f>'P&amp;L Assumption Sheet'!L8</f>
        <v>5</v>
      </c>
      <c r="M8" s="5">
        <f>'P&amp;L Assumption Sheet'!M8</f>
        <v>10</v>
      </c>
      <c r="O8" s="5">
        <f>'P&amp;L Assumption Sheet'!O8</f>
        <v>25</v>
      </c>
      <c r="Q8" s="5">
        <f>'P&amp;L Assumption Sheet'!Q8</f>
        <v>10</v>
      </c>
      <c r="R8" s="5">
        <f>'P&amp;L Assumption Sheet'!R8</f>
        <v>10</v>
      </c>
      <c r="S8" s="5">
        <f>'P&amp;L Assumption Sheet'!S8</f>
        <v>15</v>
      </c>
      <c r="T8" s="5">
        <f>'P&amp;L Assumption Sheet'!T8</f>
        <v>15</v>
      </c>
      <c r="V8" s="5">
        <f>'P&amp;L Assumption Sheet'!V8</f>
        <v>50</v>
      </c>
      <c r="X8" s="5">
        <f>'P&amp;L Assumption Sheet'!X8</f>
        <v>15</v>
      </c>
      <c r="Y8" s="5">
        <f>'P&amp;L Assumption Sheet'!Y8</f>
        <v>20</v>
      </c>
      <c r="Z8" s="5">
        <f>'P&amp;L Assumption Sheet'!Z8</f>
        <v>20</v>
      </c>
      <c r="AA8" s="5">
        <f>'P&amp;L Assumption Sheet'!AA8</f>
        <v>25</v>
      </c>
      <c r="AC8" s="5">
        <f>'P&amp;L Assumption Sheet'!AC8</f>
        <v>80</v>
      </c>
      <c r="AE8" s="5">
        <f>'P&amp;L Assumption Sheet'!AE8</f>
        <v>25</v>
      </c>
      <c r="AF8" s="5">
        <f>'P&amp;L Assumption Sheet'!AF8</f>
        <v>25</v>
      </c>
      <c r="AG8" s="5">
        <f>'P&amp;L Assumption Sheet'!AG8</f>
        <v>25</v>
      </c>
      <c r="AH8" s="5">
        <f>'P&amp;L Assumption Sheet'!AH8</f>
        <v>25</v>
      </c>
      <c r="AJ8" s="5">
        <f>'P&amp;L Assumption Sheet'!AJ8</f>
        <v>100</v>
      </c>
    </row>
    <row r="9" spans="2:36" x14ac:dyDescent="0.2">
      <c r="B9" s="5" t="s">
        <v>34</v>
      </c>
      <c r="C9" s="5">
        <f>'P&amp;L Assumption Sheet'!C9</f>
        <v>0</v>
      </c>
      <c r="D9" s="5">
        <f>'P&amp;L Assumption Sheet'!D9</f>
        <v>0</v>
      </c>
      <c r="E9" s="5">
        <f>'P&amp;L Assumption Sheet'!E9</f>
        <v>0</v>
      </c>
      <c r="F9" s="5">
        <f>'P&amp;L Assumption Sheet'!F9</f>
        <v>0</v>
      </c>
      <c r="H9" s="5">
        <f>F9</f>
        <v>0</v>
      </c>
      <c r="J9" s="5">
        <f>'P&amp;L Assumption Sheet'!J9</f>
        <v>5</v>
      </c>
      <c r="K9" s="5">
        <f>'P&amp;L Assumption Sheet'!K9</f>
        <v>10</v>
      </c>
      <c r="L9" s="5">
        <f>'P&amp;L Assumption Sheet'!L9</f>
        <v>15</v>
      </c>
      <c r="M9" s="5">
        <f>'P&amp;L Assumption Sheet'!M9</f>
        <v>25</v>
      </c>
      <c r="O9" s="5">
        <f>M9</f>
        <v>25</v>
      </c>
      <c r="Q9" s="5">
        <f>'P&amp;L Assumption Sheet'!Q9</f>
        <v>35</v>
      </c>
      <c r="R9" s="5">
        <f>'P&amp;L Assumption Sheet'!R9</f>
        <v>45</v>
      </c>
      <c r="S9" s="5">
        <f>'P&amp;L Assumption Sheet'!S9</f>
        <v>60</v>
      </c>
      <c r="T9" s="5">
        <f>'P&amp;L Assumption Sheet'!T9</f>
        <v>75</v>
      </c>
      <c r="V9" s="5">
        <f>T9</f>
        <v>75</v>
      </c>
      <c r="X9" s="5">
        <f>'P&amp;L Assumption Sheet'!X9</f>
        <v>90</v>
      </c>
      <c r="Y9" s="5">
        <f>'P&amp;L Assumption Sheet'!Y9</f>
        <v>110</v>
      </c>
      <c r="Z9" s="5">
        <f>'P&amp;L Assumption Sheet'!Z9</f>
        <v>130</v>
      </c>
      <c r="AA9" s="5">
        <f>'P&amp;L Assumption Sheet'!AA9</f>
        <v>155</v>
      </c>
      <c r="AC9" s="5">
        <f>AA9</f>
        <v>155</v>
      </c>
      <c r="AE9" s="5">
        <f>'P&amp;L Assumption Sheet'!AE9</f>
        <v>180</v>
      </c>
      <c r="AF9" s="5">
        <f>'P&amp;L Assumption Sheet'!AF9</f>
        <v>205</v>
      </c>
      <c r="AG9" s="5">
        <f>'P&amp;L Assumption Sheet'!AG9</f>
        <v>230</v>
      </c>
      <c r="AH9" s="5">
        <f>'P&amp;L Assumption Sheet'!AH9</f>
        <v>255</v>
      </c>
      <c r="AJ9" s="5">
        <f>AH9</f>
        <v>255</v>
      </c>
    </row>
    <row r="10" spans="2:36" x14ac:dyDescent="0.2">
      <c r="B10" s="5" t="s">
        <v>73</v>
      </c>
      <c r="C10" s="7">
        <f>'P&amp;L Assumption Sheet'!C34</f>
        <v>259000</v>
      </c>
      <c r="D10" s="7">
        <f>'P&amp;L Assumption Sheet'!D34</f>
        <v>259000</v>
      </c>
      <c r="E10" s="7">
        <f>'P&amp;L Assumption Sheet'!E34</f>
        <v>259000</v>
      </c>
      <c r="F10" s="7">
        <f>'P&amp;L Assumption Sheet'!F34</f>
        <v>259000</v>
      </c>
      <c r="H10" s="7">
        <f>'P&amp;L Assumption Sheet'!H34</f>
        <v>259000</v>
      </c>
      <c r="J10" s="7">
        <f>'P&amp;L Assumption Sheet'!J34</f>
        <v>246050</v>
      </c>
      <c r="K10" s="7">
        <f>'P&amp;L Assumption Sheet'!K34</f>
        <v>246050</v>
      </c>
      <c r="L10" s="7">
        <f>'P&amp;L Assumption Sheet'!L34</f>
        <v>246050</v>
      </c>
      <c r="M10" s="7">
        <f>'P&amp;L Assumption Sheet'!M34</f>
        <v>246050</v>
      </c>
      <c r="O10" s="7">
        <f>'P&amp;L Assumption Sheet'!O34</f>
        <v>246050</v>
      </c>
      <c r="Q10" s="7">
        <f>'P&amp;L Assumption Sheet'!Q34</f>
        <v>233747.5</v>
      </c>
      <c r="R10" s="7">
        <f>'P&amp;L Assumption Sheet'!R34</f>
        <v>233747.5</v>
      </c>
      <c r="S10" s="7">
        <f>'P&amp;L Assumption Sheet'!S34</f>
        <v>233747.5</v>
      </c>
      <c r="T10" s="7">
        <f>'P&amp;L Assumption Sheet'!T34</f>
        <v>233747.5</v>
      </c>
      <c r="V10" s="7">
        <f>'P&amp;L Assumption Sheet'!V34</f>
        <v>233747.5</v>
      </c>
      <c r="X10" s="7">
        <f>'P&amp;L Assumption Sheet'!X34</f>
        <v>222060.125</v>
      </c>
      <c r="Y10" s="7">
        <f>'P&amp;L Assumption Sheet'!Y34</f>
        <v>222060.125</v>
      </c>
      <c r="Z10" s="7">
        <f>'P&amp;L Assumption Sheet'!Z34</f>
        <v>222060.125</v>
      </c>
      <c r="AA10" s="7">
        <f>'P&amp;L Assumption Sheet'!AA34</f>
        <v>222060.125</v>
      </c>
      <c r="AC10" s="7">
        <f>'P&amp;L Assumption Sheet'!AC34</f>
        <v>222060.125</v>
      </c>
      <c r="AE10" s="7">
        <f>'P&amp;L Assumption Sheet'!AE34</f>
        <v>210957.11874999999</v>
      </c>
      <c r="AF10" s="7">
        <f>'P&amp;L Assumption Sheet'!AF34</f>
        <v>210957.11874999999</v>
      </c>
      <c r="AG10" s="7">
        <f>'P&amp;L Assumption Sheet'!AG34</f>
        <v>210957.11874999999</v>
      </c>
      <c r="AH10" s="7">
        <f>'P&amp;L Assumption Sheet'!AH34</f>
        <v>210957.11874999999</v>
      </c>
      <c r="AJ10" s="7">
        <f>'P&amp;L Assumption Sheet'!AJ34</f>
        <v>210957.11874999999</v>
      </c>
    </row>
    <row r="12" spans="2:36" x14ac:dyDescent="0.2">
      <c r="B12" s="5" t="s">
        <v>69</v>
      </c>
      <c r="C12" s="7">
        <v>0</v>
      </c>
      <c r="D12" s="7">
        <f>C16</f>
        <v>0</v>
      </c>
      <c r="E12" s="7">
        <f t="shared" ref="E12:F12" si="0">D16</f>
        <v>0</v>
      </c>
      <c r="F12" s="7">
        <f t="shared" si="0"/>
        <v>0</v>
      </c>
      <c r="H12" s="7">
        <f>C12</f>
        <v>0</v>
      </c>
      <c r="J12" s="7">
        <f>F16</f>
        <v>0</v>
      </c>
      <c r="K12" s="7">
        <f t="shared" ref="K12:M12" si="1">J16</f>
        <v>1199493.75</v>
      </c>
      <c r="L12" s="7">
        <f t="shared" si="1"/>
        <v>2369000.15625</v>
      </c>
      <c r="M12" s="7">
        <f t="shared" si="1"/>
        <v>3509268.90234375</v>
      </c>
      <c r="O12" s="7">
        <f>J12</f>
        <v>0</v>
      </c>
      <c r="Q12" s="7">
        <f>M16</f>
        <v>5820524.6797851566</v>
      </c>
      <c r="R12" s="7">
        <f t="shared" ref="R12:T12" si="2">Q16</f>
        <v>7954049.6877905279</v>
      </c>
      <c r="S12" s="7">
        <f t="shared" si="2"/>
        <v>10034236.570595765</v>
      </c>
      <c r="T12" s="7">
        <f t="shared" si="2"/>
        <v>13201937.84383087</v>
      </c>
      <c r="V12" s="7">
        <f>Q12</f>
        <v>5820524.6797851566</v>
      </c>
      <c r="X12" s="7">
        <f>T16</f>
        <v>16290446.585235098</v>
      </c>
      <c r="Y12" s="7">
        <f t="shared" ref="Y12:AA12" si="3">X16</f>
        <v>19130814.748729218</v>
      </c>
      <c r="Z12" s="7">
        <f t="shared" si="3"/>
        <v>22982716.817510989</v>
      </c>
      <c r="AA12" s="7">
        <f t="shared" si="3"/>
        <v>26738321.334573213</v>
      </c>
      <c r="AC12" s="7">
        <f>X12</f>
        <v>16290446.585235098</v>
      </c>
      <c r="AE12" s="7">
        <f>AA16</f>
        <v>31482578.848083884</v>
      </c>
      <c r="AF12" s="7">
        <f t="shared" ref="AF12:AH12" si="4">AE16</f>
        <v>35837594.146413036</v>
      </c>
      <c r="AG12" s="7">
        <f t="shared" si="4"/>
        <v>40083734.062283963</v>
      </c>
      <c r="AH12" s="7">
        <f t="shared" si="4"/>
        <v>44223720.480258115</v>
      </c>
      <c r="AJ12" s="7">
        <f>AE12</f>
        <v>31482578.848083884</v>
      </c>
    </row>
    <row r="13" spans="2:36" x14ac:dyDescent="0.2">
      <c r="B13" s="5" t="s">
        <v>70</v>
      </c>
      <c r="C13" s="7">
        <f>C8*C10</f>
        <v>0</v>
      </c>
      <c r="D13" s="7">
        <f t="shared" ref="D13:F13" si="5">D8*D10</f>
        <v>0</v>
      </c>
      <c r="E13" s="7">
        <f t="shared" si="5"/>
        <v>0</v>
      </c>
      <c r="F13" s="7">
        <f t="shared" si="5"/>
        <v>0</v>
      </c>
      <c r="H13" s="7">
        <f>SUM(C13:F13)</f>
        <v>0</v>
      </c>
      <c r="J13" s="7">
        <f t="shared" ref="J13:M13" si="6">J8*J10</f>
        <v>1230250</v>
      </c>
      <c r="K13" s="7">
        <f t="shared" si="6"/>
        <v>1230250</v>
      </c>
      <c r="L13" s="7">
        <f t="shared" si="6"/>
        <v>1230250</v>
      </c>
      <c r="M13" s="7">
        <f t="shared" si="6"/>
        <v>2460500</v>
      </c>
      <c r="O13" s="7">
        <f>SUM(J13:M13)</f>
        <v>6151250</v>
      </c>
      <c r="Q13" s="7">
        <f t="shared" ref="Q13:T13" si="7">Q8*Q10</f>
        <v>2337475</v>
      </c>
      <c r="R13" s="7">
        <f t="shared" si="7"/>
        <v>2337475</v>
      </c>
      <c r="S13" s="7">
        <f t="shared" si="7"/>
        <v>3506212.5</v>
      </c>
      <c r="T13" s="7">
        <f t="shared" si="7"/>
        <v>3506212.5</v>
      </c>
      <c r="V13" s="7">
        <f>SUM(Q13:T13)</f>
        <v>11687375</v>
      </c>
      <c r="X13" s="7">
        <f t="shared" ref="X13:AA13" si="8">X8*X10</f>
        <v>3330901.875</v>
      </c>
      <c r="Y13" s="7">
        <f t="shared" si="8"/>
        <v>4441202.5</v>
      </c>
      <c r="Z13" s="7">
        <f t="shared" si="8"/>
        <v>4441202.5</v>
      </c>
      <c r="AA13" s="7">
        <f t="shared" si="8"/>
        <v>5551503.125</v>
      </c>
      <c r="AC13" s="7">
        <f>SUM(X13:AA13)</f>
        <v>17764810</v>
      </c>
      <c r="AE13" s="7">
        <f t="shared" ref="AE13:AH13" si="9">AE8*AE10</f>
        <v>5273927.96875</v>
      </c>
      <c r="AF13" s="7">
        <f t="shared" si="9"/>
        <v>5273927.96875</v>
      </c>
      <c r="AG13" s="7">
        <f t="shared" si="9"/>
        <v>5273927.96875</v>
      </c>
      <c r="AH13" s="7">
        <f t="shared" si="9"/>
        <v>5273927.96875</v>
      </c>
      <c r="AJ13" s="7">
        <f>SUM(AE13:AH13)</f>
        <v>21095711.875</v>
      </c>
    </row>
    <row r="14" spans="2:36" x14ac:dyDescent="0.2">
      <c r="B14" s="5" t="s">
        <v>30</v>
      </c>
      <c r="C14" s="7">
        <f>SUM(C12:C13)</f>
        <v>0</v>
      </c>
      <c r="D14" s="7">
        <f t="shared" ref="D14:F14" si="10">SUM(D12:D13)</f>
        <v>0</v>
      </c>
      <c r="E14" s="7">
        <f t="shared" si="10"/>
        <v>0</v>
      </c>
      <c r="F14" s="7">
        <f t="shared" si="10"/>
        <v>0</v>
      </c>
      <c r="H14" s="7"/>
      <c r="J14" s="7">
        <f t="shared" ref="J14:M14" si="11">SUM(J12:J13)</f>
        <v>1230250</v>
      </c>
      <c r="K14" s="7">
        <f t="shared" si="11"/>
        <v>2429743.75</v>
      </c>
      <c r="L14" s="7">
        <f t="shared" si="11"/>
        <v>3599250.15625</v>
      </c>
      <c r="M14" s="7">
        <f t="shared" si="11"/>
        <v>5969768.90234375</v>
      </c>
      <c r="O14" s="7"/>
      <c r="Q14" s="7">
        <f t="shared" ref="Q14" si="12">SUM(Q12:Q13)</f>
        <v>8157999.6797851566</v>
      </c>
      <c r="R14" s="7">
        <f t="shared" ref="R14" si="13">SUM(R12:R13)</f>
        <v>10291524.687790528</v>
      </c>
      <c r="S14" s="7">
        <f t="shared" ref="S14" si="14">SUM(S12:S13)</f>
        <v>13540449.070595765</v>
      </c>
      <c r="T14" s="7">
        <f t="shared" ref="T14" si="15">SUM(T12:T13)</f>
        <v>16708150.34383087</v>
      </c>
      <c r="V14" s="7"/>
      <c r="X14" s="7">
        <f t="shared" ref="X14" si="16">SUM(X12:X13)</f>
        <v>19621348.460235097</v>
      </c>
      <c r="Y14" s="7">
        <f t="shared" ref="Y14" si="17">SUM(Y12:Y13)</f>
        <v>23572017.248729218</v>
      </c>
      <c r="Z14" s="7">
        <f t="shared" ref="Z14" si="18">SUM(Z12:Z13)</f>
        <v>27423919.317510989</v>
      </c>
      <c r="AA14" s="7">
        <f t="shared" ref="AA14" si="19">SUM(AA12:AA13)</f>
        <v>32289824.459573213</v>
      </c>
      <c r="AC14" s="7"/>
      <c r="AE14" s="7">
        <f t="shared" ref="AE14" si="20">SUM(AE12:AE13)</f>
        <v>36756506.816833884</v>
      </c>
      <c r="AF14" s="7">
        <f t="shared" ref="AF14" si="21">SUM(AF12:AF13)</f>
        <v>41111522.115163036</v>
      </c>
      <c r="AG14" s="7">
        <f t="shared" ref="AG14" si="22">SUM(AG12:AG13)</f>
        <v>45357662.031033963</v>
      </c>
      <c r="AH14" s="7">
        <f t="shared" ref="AH14" si="23">SUM(AH12:AH13)</f>
        <v>49497648.449008115</v>
      </c>
      <c r="AJ14" s="7"/>
    </row>
    <row r="15" spans="2:36" ht="16" thickBot="1" x14ac:dyDescent="0.25">
      <c r="B15" s="5" t="s">
        <v>71</v>
      </c>
      <c r="C15" s="7">
        <f>C14*'Assumption Sheet'!$C$13/4</f>
        <v>0</v>
      </c>
      <c r="D15" s="7">
        <f>D14*'Assumption Sheet'!$C$13/4</f>
        <v>0</v>
      </c>
      <c r="E15" s="7">
        <f>E14*'Assumption Sheet'!$C$13/4</f>
        <v>0</v>
      </c>
      <c r="F15" s="7">
        <f>F14*'Assumption Sheet'!$C$13/4</f>
        <v>0</v>
      </c>
      <c r="H15" s="7">
        <f>SUM(C15:F15)</f>
        <v>0</v>
      </c>
      <c r="J15" s="7">
        <f>J14*'Assumption Sheet'!$C$13/4</f>
        <v>30756.25</v>
      </c>
      <c r="K15" s="7">
        <f>K14*'Assumption Sheet'!$C$13/4</f>
        <v>60743.59375</v>
      </c>
      <c r="L15" s="7">
        <f>L14*'Assumption Sheet'!$C$13/4</f>
        <v>89981.25390625</v>
      </c>
      <c r="M15" s="7">
        <f>M14*'Assumption Sheet'!$C$13/4</f>
        <v>149244.22255859376</v>
      </c>
      <c r="O15" s="7">
        <f>SUM(J15:M15)</f>
        <v>330725.32021484373</v>
      </c>
      <c r="Q15" s="7">
        <f>Q14*'Assumption Sheet'!$C$13/4</f>
        <v>203949.99199462892</v>
      </c>
      <c r="R15" s="7">
        <f>R14*'Assumption Sheet'!$C$13/4</f>
        <v>257288.11719476321</v>
      </c>
      <c r="S15" s="7">
        <f>S14*'Assumption Sheet'!$C$13/4</f>
        <v>338511.22676489415</v>
      </c>
      <c r="T15" s="7">
        <f>T14*'Assumption Sheet'!$C$13/4</f>
        <v>417703.7585957718</v>
      </c>
      <c r="V15" s="7">
        <f>SUM(Q15:T15)</f>
        <v>1217453.094550058</v>
      </c>
      <c r="X15" s="7">
        <f>X14*'Assumption Sheet'!$C$13/4</f>
        <v>490533.71150587744</v>
      </c>
      <c r="Y15" s="7">
        <f>Y14*'Assumption Sheet'!$C$13/4</f>
        <v>589300.43121823051</v>
      </c>
      <c r="Z15" s="7">
        <f>Z14*'Assumption Sheet'!$C$13/4</f>
        <v>685597.98293777474</v>
      </c>
      <c r="AA15" s="7">
        <f>AA14*'Assumption Sheet'!$C$13/4</f>
        <v>807245.61148933042</v>
      </c>
      <c r="AC15" s="7">
        <f>SUM(X15:AA15)</f>
        <v>2572677.737151213</v>
      </c>
      <c r="AE15" s="7">
        <f>AE14*'Assumption Sheet'!$C$13/4</f>
        <v>918912.67042084713</v>
      </c>
      <c r="AF15" s="7">
        <f>AF14*'Assumption Sheet'!$C$13/4</f>
        <v>1027788.052879076</v>
      </c>
      <c r="AG15" s="7">
        <f>AG14*'Assumption Sheet'!$C$13/4</f>
        <v>1133941.550775849</v>
      </c>
      <c r="AH15" s="7">
        <f>AH14*'Assumption Sheet'!$C$13/4</f>
        <v>1237441.211225203</v>
      </c>
      <c r="AJ15" s="7">
        <f>SUM(AE15:AH15)</f>
        <v>4318083.4853009749</v>
      </c>
    </row>
    <row r="16" spans="2:36" ht="16" thickBot="1" x14ac:dyDescent="0.25">
      <c r="B16" s="10" t="s">
        <v>72</v>
      </c>
      <c r="C16" s="11">
        <f>C12+C13-C15</f>
        <v>0</v>
      </c>
      <c r="D16" s="11">
        <f t="shared" ref="D16:H16" si="24">D12+D13-D15</f>
        <v>0</v>
      </c>
      <c r="E16" s="11">
        <f t="shared" si="24"/>
        <v>0</v>
      </c>
      <c r="F16" s="12">
        <f t="shared" si="24"/>
        <v>0</v>
      </c>
      <c r="H16" s="13">
        <f t="shared" si="24"/>
        <v>0</v>
      </c>
      <c r="J16" s="14">
        <f>J12+J13-J15</f>
        <v>1199493.75</v>
      </c>
      <c r="K16" s="11">
        <f t="shared" ref="K16" si="25">K12+K13-K15</f>
        <v>2369000.15625</v>
      </c>
      <c r="L16" s="11">
        <f t="shared" ref="L16" si="26">L12+L13-L15</f>
        <v>3509268.90234375</v>
      </c>
      <c r="M16" s="12">
        <f t="shared" ref="M16" si="27">M12+M13-M15</f>
        <v>5820524.6797851566</v>
      </c>
      <c r="O16" s="13">
        <f t="shared" ref="O16" si="28">O12+O13-O15</f>
        <v>5820524.6797851566</v>
      </c>
      <c r="Q16" s="14">
        <f>Q12+Q13-Q15</f>
        <v>7954049.6877905279</v>
      </c>
      <c r="R16" s="11">
        <f t="shared" ref="R16" si="29">R12+R13-R15</f>
        <v>10034236.570595765</v>
      </c>
      <c r="S16" s="11">
        <f t="shared" ref="S16" si="30">S12+S13-S15</f>
        <v>13201937.84383087</v>
      </c>
      <c r="T16" s="12">
        <f t="shared" ref="T16" si="31">T12+T13-T15</f>
        <v>16290446.585235098</v>
      </c>
      <c r="V16" s="13">
        <f t="shared" ref="V16" si="32">V12+V13-V15</f>
        <v>16290446.585235097</v>
      </c>
      <c r="X16" s="14">
        <f>X12+X13-X15</f>
        <v>19130814.748729218</v>
      </c>
      <c r="Y16" s="11">
        <f t="shared" ref="Y16" si="33">Y12+Y13-Y15</f>
        <v>22982716.817510989</v>
      </c>
      <c r="Z16" s="11">
        <f t="shared" ref="Z16" si="34">Z12+Z13-Z15</f>
        <v>26738321.334573213</v>
      </c>
      <c r="AA16" s="12">
        <f t="shared" ref="AA16" si="35">AA12+AA13-AA15</f>
        <v>31482578.848083884</v>
      </c>
      <c r="AC16" s="13">
        <f t="shared" ref="AC16" si="36">AC12+AC13-AC15</f>
        <v>31482578.848083884</v>
      </c>
      <c r="AE16" s="14">
        <f>AE12+AE13-AE15</f>
        <v>35837594.146413036</v>
      </c>
      <c r="AF16" s="11">
        <f t="shared" ref="AF16" si="37">AF12+AF13-AF15</f>
        <v>40083734.062283963</v>
      </c>
      <c r="AG16" s="11">
        <f t="shared" ref="AG16" si="38">AG12+AG13-AG15</f>
        <v>44223720.480258115</v>
      </c>
      <c r="AH16" s="12">
        <f t="shared" ref="AH16" si="39">AH12+AH13-AH15</f>
        <v>48260207.23778291</v>
      </c>
      <c r="AJ16" s="13">
        <f t="shared" ref="AJ16" si="40">AJ12+AJ13-AJ15</f>
        <v>48260207.23778291</v>
      </c>
    </row>
    <row r="18" spans="2:36" x14ac:dyDescent="0.2">
      <c r="B18" s="6" t="s">
        <v>145</v>
      </c>
      <c r="E18" s="7"/>
      <c r="F18" s="7"/>
      <c r="AE18" s="33"/>
    </row>
    <row r="19" spans="2:36" x14ac:dyDescent="0.2">
      <c r="B19" s="5" t="s">
        <v>69</v>
      </c>
      <c r="C19" s="7">
        <v>0</v>
      </c>
      <c r="D19" s="7">
        <f>C23</f>
        <v>0</v>
      </c>
      <c r="E19" s="7">
        <f t="shared" ref="E19" si="41">D23</f>
        <v>0</v>
      </c>
      <c r="F19" s="7">
        <f t="shared" ref="F19" si="42">E23</f>
        <v>0</v>
      </c>
      <c r="H19" s="7">
        <f>C19</f>
        <v>0</v>
      </c>
      <c r="J19" s="7">
        <f>F23</f>
        <v>0</v>
      </c>
      <c r="K19" s="7">
        <f t="shared" ref="K19" si="43">J23</f>
        <v>0</v>
      </c>
      <c r="L19" s="7">
        <f t="shared" ref="L19" si="44">K23</f>
        <v>0</v>
      </c>
      <c r="M19" s="7">
        <f t="shared" ref="M19" si="45">L23</f>
        <v>0</v>
      </c>
      <c r="O19" s="7">
        <f>J19</f>
        <v>0</v>
      </c>
      <c r="Q19" s="7">
        <f>M23</f>
        <v>0</v>
      </c>
      <c r="R19" s="7">
        <f t="shared" ref="R19" si="46">Q23</f>
        <v>0</v>
      </c>
      <c r="S19" s="7">
        <f t="shared" ref="S19" si="47">R23</f>
        <v>0</v>
      </c>
      <c r="T19" s="7">
        <f t="shared" ref="T19" si="48">S23</f>
        <v>0</v>
      </c>
      <c r="V19" s="7">
        <f>Q19</f>
        <v>0</v>
      </c>
      <c r="X19" s="7">
        <f>T23</f>
        <v>0</v>
      </c>
      <c r="Y19" s="7">
        <f t="shared" ref="Y19" si="49">X23</f>
        <v>0</v>
      </c>
      <c r="Z19" s="7">
        <f t="shared" ref="Z19" si="50">Y23</f>
        <v>0</v>
      </c>
      <c r="AA19" s="7">
        <f t="shared" ref="AA19" si="51">Z23</f>
        <v>0</v>
      </c>
      <c r="AC19" s="7">
        <f>X19</f>
        <v>0</v>
      </c>
      <c r="AE19" s="7">
        <f>AA23</f>
        <v>0</v>
      </c>
      <c r="AF19" s="7">
        <f t="shared" ref="AF19" si="52">AE23</f>
        <v>0</v>
      </c>
      <c r="AG19" s="7">
        <f t="shared" ref="AG19" si="53">AF23</f>
        <v>0</v>
      </c>
      <c r="AH19" s="7">
        <f t="shared" ref="AH19" si="54">AG23</f>
        <v>0</v>
      </c>
      <c r="AJ19" s="7">
        <f>AE19</f>
        <v>0</v>
      </c>
    </row>
    <row r="20" spans="2:36" x14ac:dyDescent="0.2">
      <c r="B20" s="5" t="s">
        <v>70</v>
      </c>
      <c r="C20" s="70">
        <f>C15*C17</f>
        <v>0</v>
      </c>
      <c r="D20" s="70">
        <f t="shared" ref="D20" si="55">D15*D17</f>
        <v>0</v>
      </c>
      <c r="E20" s="70">
        <v>0</v>
      </c>
      <c r="F20" s="70">
        <v>0</v>
      </c>
      <c r="H20" s="7">
        <f>SUM(C20:F20)</f>
        <v>0</v>
      </c>
      <c r="J20" s="70">
        <v>0</v>
      </c>
      <c r="K20" s="70">
        <v>0</v>
      </c>
      <c r="L20" s="70">
        <v>0</v>
      </c>
      <c r="M20" s="70">
        <v>0</v>
      </c>
      <c r="O20" s="7">
        <f>SUM(J20:M20)</f>
        <v>0</v>
      </c>
      <c r="Q20" s="70">
        <v>0</v>
      </c>
      <c r="R20" s="70">
        <v>0</v>
      </c>
      <c r="S20" s="70">
        <v>0</v>
      </c>
      <c r="T20" s="70">
        <v>0</v>
      </c>
      <c r="V20" s="7">
        <f>SUM(Q20:T20)</f>
        <v>0</v>
      </c>
      <c r="X20" s="70">
        <v>0</v>
      </c>
      <c r="Y20" s="70">
        <v>0</v>
      </c>
      <c r="Z20" s="70">
        <v>0</v>
      </c>
      <c r="AA20" s="70">
        <v>0</v>
      </c>
      <c r="AC20" s="7">
        <f>SUM(X20:AA20)</f>
        <v>0</v>
      </c>
      <c r="AE20" s="70">
        <v>0</v>
      </c>
      <c r="AF20" s="70">
        <v>0</v>
      </c>
      <c r="AG20" s="70">
        <v>0</v>
      </c>
      <c r="AH20" s="70">
        <v>0</v>
      </c>
      <c r="AJ20" s="7">
        <f>SUM(AE20:AH20)</f>
        <v>0</v>
      </c>
    </row>
    <row r="21" spans="2:36" x14ac:dyDescent="0.2">
      <c r="B21" s="5" t="s">
        <v>30</v>
      </c>
      <c r="C21" s="7">
        <f>SUM(C19:C20)</f>
        <v>0</v>
      </c>
      <c r="D21" s="7">
        <f t="shared" ref="D21:F21" si="56">SUM(D19:D20)</f>
        <v>0</v>
      </c>
      <c r="E21" s="7">
        <f t="shared" si="56"/>
        <v>0</v>
      </c>
      <c r="F21" s="7">
        <f t="shared" si="56"/>
        <v>0</v>
      </c>
      <c r="H21" s="7"/>
      <c r="J21" s="7">
        <f t="shared" ref="J21:M21" si="57">SUM(J19:J20)</f>
        <v>0</v>
      </c>
      <c r="K21" s="7">
        <f t="shared" si="57"/>
        <v>0</v>
      </c>
      <c r="L21" s="7">
        <f t="shared" si="57"/>
        <v>0</v>
      </c>
      <c r="M21" s="7">
        <f t="shared" si="57"/>
        <v>0</v>
      </c>
      <c r="O21" s="7"/>
      <c r="Q21" s="7">
        <f t="shared" ref="Q21:T21" si="58">SUM(Q19:Q20)</f>
        <v>0</v>
      </c>
      <c r="R21" s="7">
        <f t="shared" si="58"/>
        <v>0</v>
      </c>
      <c r="S21" s="7">
        <f t="shared" si="58"/>
        <v>0</v>
      </c>
      <c r="T21" s="7">
        <f t="shared" si="58"/>
        <v>0</v>
      </c>
      <c r="V21" s="7"/>
      <c r="X21" s="7">
        <f t="shared" ref="X21:AA21" si="59">SUM(X19:X20)</f>
        <v>0</v>
      </c>
      <c r="Y21" s="7">
        <f t="shared" si="59"/>
        <v>0</v>
      </c>
      <c r="Z21" s="7">
        <f t="shared" si="59"/>
        <v>0</v>
      </c>
      <c r="AA21" s="7">
        <f t="shared" si="59"/>
        <v>0</v>
      </c>
      <c r="AC21" s="7"/>
      <c r="AE21" s="7">
        <f t="shared" ref="AE21:AH21" si="60">SUM(AE19:AE20)</f>
        <v>0</v>
      </c>
      <c r="AF21" s="7">
        <f t="shared" si="60"/>
        <v>0</v>
      </c>
      <c r="AG21" s="7">
        <f t="shared" si="60"/>
        <v>0</v>
      </c>
      <c r="AH21" s="7">
        <f t="shared" si="60"/>
        <v>0</v>
      </c>
      <c r="AJ21" s="7"/>
    </row>
    <row r="22" spans="2:36" ht="16" thickBot="1" x14ac:dyDescent="0.25">
      <c r="B22" s="5" t="s">
        <v>71</v>
      </c>
      <c r="C22" s="7">
        <f>C21*'Assumption Sheet'!$C$13/4</f>
        <v>0</v>
      </c>
      <c r="D22" s="7">
        <f>D21*'Assumption Sheet'!$C$13/4</f>
        <v>0</v>
      </c>
      <c r="E22" s="7">
        <f>E21*'Assumption Sheet'!$C$13/4</f>
        <v>0</v>
      </c>
      <c r="F22" s="7">
        <f>F21*'Assumption Sheet'!$C$13/4</f>
        <v>0</v>
      </c>
      <c r="H22" s="7">
        <f>SUM(C22:F22)</f>
        <v>0</v>
      </c>
      <c r="J22" s="7">
        <f>J21*'Assumption Sheet'!$C$13/4</f>
        <v>0</v>
      </c>
      <c r="K22" s="7">
        <f>K21*'Assumption Sheet'!$C$13/4</f>
        <v>0</v>
      </c>
      <c r="L22" s="7">
        <f>L21*'Assumption Sheet'!$C$13/4</f>
        <v>0</v>
      </c>
      <c r="M22" s="7">
        <f>M21*'Assumption Sheet'!$C$13/4</f>
        <v>0</v>
      </c>
      <c r="O22" s="7">
        <f>SUM(J22:M22)</f>
        <v>0</v>
      </c>
      <c r="Q22" s="7">
        <f>Q21*'Assumption Sheet'!$C$13/4</f>
        <v>0</v>
      </c>
      <c r="R22" s="7">
        <f>R21*'Assumption Sheet'!$C$13/4</f>
        <v>0</v>
      </c>
      <c r="S22" s="7">
        <f>S21*'Assumption Sheet'!$C$13/4</f>
        <v>0</v>
      </c>
      <c r="T22" s="7">
        <f>T21*'Assumption Sheet'!$C$13/4</f>
        <v>0</v>
      </c>
      <c r="V22" s="7">
        <f>SUM(Q22:T22)</f>
        <v>0</v>
      </c>
      <c r="X22" s="7">
        <f>X21*'Assumption Sheet'!$C$13/4</f>
        <v>0</v>
      </c>
      <c r="Y22" s="7">
        <f>Y21*'Assumption Sheet'!$C$13/4</f>
        <v>0</v>
      </c>
      <c r="Z22" s="7">
        <f>Z21*'Assumption Sheet'!$C$13/4</f>
        <v>0</v>
      </c>
      <c r="AA22" s="7">
        <f>AA21*'Assumption Sheet'!$C$13/4</f>
        <v>0</v>
      </c>
      <c r="AC22" s="7">
        <f>SUM(X22:AA22)</f>
        <v>0</v>
      </c>
      <c r="AE22" s="7">
        <f>AE21*'Assumption Sheet'!$C$13/4</f>
        <v>0</v>
      </c>
      <c r="AF22" s="7">
        <f>AF21*'Assumption Sheet'!$C$13/4</f>
        <v>0</v>
      </c>
      <c r="AG22" s="7">
        <f>AG21*'Assumption Sheet'!$C$13/4</f>
        <v>0</v>
      </c>
      <c r="AH22" s="7">
        <f>AH21*'Assumption Sheet'!$C$13/4</f>
        <v>0</v>
      </c>
      <c r="AJ22" s="7">
        <f>SUM(AE22:AH22)</f>
        <v>0</v>
      </c>
    </row>
    <row r="23" spans="2:36" ht="16" thickBot="1" x14ac:dyDescent="0.25">
      <c r="B23" s="10" t="s">
        <v>72</v>
      </c>
      <c r="C23" s="11">
        <f>C19+C20-C22</f>
        <v>0</v>
      </c>
      <c r="D23" s="11">
        <f t="shared" ref="D23:F23" si="61">D19+D20-D22</f>
        <v>0</v>
      </c>
      <c r="E23" s="11">
        <f t="shared" si="61"/>
        <v>0</v>
      </c>
      <c r="F23" s="12">
        <f t="shared" si="61"/>
        <v>0</v>
      </c>
      <c r="H23" s="13">
        <f t="shared" ref="H23" si="62">H19+H20-H22</f>
        <v>0</v>
      </c>
      <c r="J23" s="14">
        <f>J19+J20-J22</f>
        <v>0</v>
      </c>
      <c r="K23" s="11">
        <f t="shared" ref="K23:M23" si="63">K19+K20-K22</f>
        <v>0</v>
      </c>
      <c r="L23" s="11">
        <f t="shared" si="63"/>
        <v>0</v>
      </c>
      <c r="M23" s="12">
        <f t="shared" si="63"/>
        <v>0</v>
      </c>
      <c r="O23" s="13">
        <f t="shared" ref="O23" si="64">O19+O20-O22</f>
        <v>0</v>
      </c>
      <c r="Q23" s="14">
        <f>Q19+Q20-Q22</f>
        <v>0</v>
      </c>
      <c r="R23" s="11">
        <f t="shared" ref="R23:T23" si="65">R19+R20-R22</f>
        <v>0</v>
      </c>
      <c r="S23" s="11">
        <f t="shared" si="65"/>
        <v>0</v>
      </c>
      <c r="T23" s="12">
        <f t="shared" si="65"/>
        <v>0</v>
      </c>
      <c r="V23" s="13">
        <f t="shared" ref="V23" si="66">V19+V20-V22</f>
        <v>0</v>
      </c>
      <c r="X23" s="14">
        <f>X19+X20-X22</f>
        <v>0</v>
      </c>
      <c r="Y23" s="11">
        <f t="shared" ref="Y23:AA23" si="67">Y19+Y20-Y22</f>
        <v>0</v>
      </c>
      <c r="Z23" s="11">
        <f t="shared" si="67"/>
        <v>0</v>
      </c>
      <c r="AA23" s="12">
        <f t="shared" si="67"/>
        <v>0</v>
      </c>
      <c r="AC23" s="13">
        <f t="shared" ref="AC23" si="68">AC19+AC20-AC22</f>
        <v>0</v>
      </c>
      <c r="AE23" s="14">
        <f>AE19+AE20-AE22</f>
        <v>0</v>
      </c>
      <c r="AF23" s="11">
        <f t="shared" ref="AF23:AH23" si="69">AF19+AF20-AF22</f>
        <v>0</v>
      </c>
      <c r="AG23" s="11">
        <f t="shared" si="69"/>
        <v>0</v>
      </c>
      <c r="AH23" s="12">
        <f t="shared" si="69"/>
        <v>0</v>
      </c>
      <c r="AJ23" s="13">
        <f t="shared" ref="AJ23" si="70">AJ19+AJ20-AJ22</f>
        <v>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00758-67F7-4F2E-ABBA-80FDD9F14C4E}">
  <sheetPr>
    <tabColor rgb="FF00B050"/>
  </sheetPr>
  <dimension ref="B1:AL48"/>
  <sheetViews>
    <sheetView showGridLines="0" zoomScale="85" zoomScaleNormal="8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B47" sqref="AB47"/>
    </sheetView>
  </sheetViews>
  <sheetFormatPr baseColWidth="10" defaultColWidth="8.6640625" defaultRowHeight="15" outlineLevelRow="1" x14ac:dyDescent="0.2"/>
  <cols>
    <col min="1" max="1" width="8.6640625" style="5"/>
    <col min="2" max="2" width="41.83203125" style="5" customWidth="1"/>
    <col min="3" max="6" width="10.83203125" style="5" bestFit="1" customWidth="1"/>
    <col min="7" max="7" width="2.5" style="5" customWidth="1"/>
    <col min="8" max="8" width="10.5" style="5" bestFit="1" customWidth="1"/>
    <col min="9" max="9" width="2.5" style="5" customWidth="1"/>
    <col min="10" max="12" width="10.83203125" style="5" bestFit="1" customWidth="1"/>
    <col min="13" max="13" width="11.5" style="5" bestFit="1" customWidth="1"/>
    <col min="14" max="14" width="2.5" style="5" customWidth="1"/>
    <col min="15" max="15" width="11.5" style="5" bestFit="1" customWidth="1"/>
    <col min="16" max="16" width="2.5" style="5" customWidth="1"/>
    <col min="17" max="20" width="11.5" style="5" bestFit="1" customWidth="1"/>
    <col min="21" max="21" width="2.5" style="5" customWidth="1"/>
    <col min="22" max="22" width="11.5" style="5" bestFit="1" customWidth="1"/>
    <col min="23" max="23" width="2.5" style="5" customWidth="1"/>
    <col min="24" max="27" width="11.5" style="5" bestFit="1" customWidth="1"/>
    <col min="28" max="28" width="2.5" style="5" customWidth="1"/>
    <col min="29" max="29" width="11.5" style="5" bestFit="1" customWidth="1"/>
    <col min="30" max="30" width="2.5" style="5" customWidth="1"/>
    <col min="31" max="34" width="11.5" style="5" bestFit="1" customWidth="1"/>
    <col min="35" max="35" width="2.5" style="5" customWidth="1"/>
    <col min="36" max="36" width="11.5" style="5" bestFit="1" customWidth="1"/>
    <col min="37" max="37" width="8.6640625" style="5"/>
    <col min="38" max="38" width="13.33203125" style="5" bestFit="1" customWidth="1"/>
    <col min="39" max="16384" width="8.6640625" style="5"/>
  </cols>
  <sheetData>
    <row r="1" spans="2:36" ht="20" x14ac:dyDescent="0.25">
      <c r="B1" s="34" t="s">
        <v>93</v>
      </c>
    </row>
    <row r="2" spans="2:36" x14ac:dyDescent="0.2">
      <c r="B2" s="8" t="str">
        <f>'Assumption Sheet'!B2</f>
        <v>Updated on 01 Feb 2026</v>
      </c>
    </row>
    <row r="6" spans="2:36" x14ac:dyDescent="0.2">
      <c r="B6" s="20" t="s">
        <v>0</v>
      </c>
      <c r="C6" s="4" t="str">
        <f>'P&amp;L Assumption Sheet'!C6</f>
        <v>FY26-27 Q1</v>
      </c>
      <c r="D6" s="4" t="str">
        <f>'P&amp;L Assumption Sheet'!D6</f>
        <v>FY26-27 Q2</v>
      </c>
      <c r="E6" s="4" t="str">
        <f>'P&amp;L Assumption Sheet'!E6</f>
        <v>FY26-27 Q3</v>
      </c>
      <c r="F6" s="4" t="str">
        <f>'P&amp;L Assumption Sheet'!F6</f>
        <v>FY26-27 Q4</v>
      </c>
      <c r="G6" s="1"/>
      <c r="H6" s="2" t="str">
        <f>'P&amp;L Assumption Sheet'!H6</f>
        <v>FY26-27</v>
      </c>
      <c r="I6" s="1"/>
      <c r="J6" s="4" t="str">
        <f>'P&amp;L Assumption Sheet'!J6</f>
        <v>FY27-28 Q1</v>
      </c>
      <c r="K6" s="4" t="str">
        <f>'P&amp;L Assumption Sheet'!K6</f>
        <v>FY27-28 Q2</v>
      </c>
      <c r="L6" s="4" t="str">
        <f>'P&amp;L Assumption Sheet'!L6</f>
        <v>FY27-28 Q3</v>
      </c>
      <c r="M6" s="4" t="str">
        <f>'P&amp;L Assumption Sheet'!M6</f>
        <v>FY27-28 Q4</v>
      </c>
      <c r="N6" s="1"/>
      <c r="O6" s="2" t="str">
        <f>'P&amp;L Assumption Sheet'!O6</f>
        <v>FY27-28</v>
      </c>
      <c r="P6" s="1"/>
      <c r="Q6" s="4" t="str">
        <f>'P&amp;L Assumption Sheet'!Q6</f>
        <v>FY28-29 Q1</v>
      </c>
      <c r="R6" s="4" t="str">
        <f>'P&amp;L Assumption Sheet'!R6</f>
        <v>FY28-29 Q2</v>
      </c>
      <c r="S6" s="4" t="str">
        <f>'P&amp;L Assumption Sheet'!S6</f>
        <v>FY28-29 Q3</v>
      </c>
      <c r="T6" s="4" t="str">
        <f>'P&amp;L Assumption Sheet'!T6</f>
        <v>FY28-29 Q4</v>
      </c>
      <c r="U6" s="1"/>
      <c r="V6" s="2" t="str">
        <f>'P&amp;L Assumption Sheet'!V6</f>
        <v>FY28-29</v>
      </c>
      <c r="W6" s="1"/>
      <c r="X6" s="4" t="str">
        <f>'P&amp;L Assumption Sheet'!X6</f>
        <v>FY29-30 Q1</v>
      </c>
      <c r="Y6" s="4" t="str">
        <f>'P&amp;L Assumption Sheet'!Y6</f>
        <v>FY29-30 Q2</v>
      </c>
      <c r="Z6" s="4" t="str">
        <f>'P&amp;L Assumption Sheet'!Z6</f>
        <v>FY29-30 Q3</v>
      </c>
      <c r="AA6" s="4" t="str">
        <f>'P&amp;L Assumption Sheet'!AA6</f>
        <v>FY29-30 Q4</v>
      </c>
      <c r="AB6" s="3"/>
      <c r="AC6" s="2" t="str">
        <f>'P&amp;L Assumption Sheet'!AC6</f>
        <v>FY29-30</v>
      </c>
      <c r="AD6" s="1"/>
      <c r="AE6" s="4" t="str">
        <f>'P&amp;L Assumption Sheet'!AE6</f>
        <v>FY30-31 Q1</v>
      </c>
      <c r="AF6" s="4" t="str">
        <f>'P&amp;L Assumption Sheet'!AF6</f>
        <v>FY30-31 Q2</v>
      </c>
      <c r="AG6" s="4" t="str">
        <f>'P&amp;L Assumption Sheet'!AG6</f>
        <v>FY30-31 Q3</v>
      </c>
      <c r="AH6" s="4" t="str">
        <f>'P&amp;L Assumption Sheet'!AH6</f>
        <v>FY30-31 Q4</v>
      </c>
      <c r="AI6" s="1"/>
      <c r="AJ6" s="2" t="str">
        <f>'P&amp;L Assumption Sheet'!AJ6</f>
        <v>FY30-31</v>
      </c>
    </row>
    <row r="7" spans="2:36" x14ac:dyDescent="0.2">
      <c r="B7" s="5" t="s">
        <v>33</v>
      </c>
      <c r="C7" s="5">
        <f>'P&amp;L Assumption Sheet'!C8</f>
        <v>0</v>
      </c>
      <c r="D7" s="5">
        <f>'P&amp;L Assumption Sheet'!D8</f>
        <v>0</v>
      </c>
      <c r="E7" s="5">
        <f>'P&amp;L Assumption Sheet'!E8</f>
        <v>0</v>
      </c>
      <c r="F7" s="5">
        <f>'P&amp;L Assumption Sheet'!F8</f>
        <v>0</v>
      </c>
      <c r="H7" s="5">
        <f>'P&amp;L Assumption Sheet'!H8</f>
        <v>0</v>
      </c>
      <c r="J7" s="5">
        <f>'P&amp;L Assumption Sheet'!J8</f>
        <v>5</v>
      </c>
      <c r="K7" s="5">
        <f>'P&amp;L Assumption Sheet'!K8</f>
        <v>5</v>
      </c>
      <c r="L7" s="5">
        <f>'P&amp;L Assumption Sheet'!L8</f>
        <v>5</v>
      </c>
      <c r="M7" s="5">
        <f>'P&amp;L Assumption Sheet'!M8</f>
        <v>10</v>
      </c>
      <c r="O7" s="5">
        <f>'P&amp;L Assumption Sheet'!O8</f>
        <v>25</v>
      </c>
      <c r="Q7" s="5">
        <f>'P&amp;L Assumption Sheet'!Q8</f>
        <v>10</v>
      </c>
      <c r="R7" s="5">
        <f>'P&amp;L Assumption Sheet'!R8</f>
        <v>10</v>
      </c>
      <c r="S7" s="5">
        <f>'P&amp;L Assumption Sheet'!S8</f>
        <v>15</v>
      </c>
      <c r="T7" s="5">
        <f>'P&amp;L Assumption Sheet'!T8</f>
        <v>15</v>
      </c>
      <c r="V7" s="5">
        <f>'P&amp;L Assumption Sheet'!V8</f>
        <v>50</v>
      </c>
      <c r="X7" s="5">
        <f>'P&amp;L Assumption Sheet'!X8</f>
        <v>15</v>
      </c>
      <c r="Y7" s="5">
        <f>'P&amp;L Assumption Sheet'!Y8</f>
        <v>20</v>
      </c>
      <c r="Z7" s="5">
        <f>'P&amp;L Assumption Sheet'!Z8</f>
        <v>20</v>
      </c>
      <c r="AA7" s="5">
        <f>'P&amp;L Assumption Sheet'!AA8</f>
        <v>25</v>
      </c>
      <c r="AC7" s="5">
        <f>'P&amp;L Assumption Sheet'!AC8</f>
        <v>80</v>
      </c>
      <c r="AE7" s="5">
        <f>'P&amp;L Assumption Sheet'!AE8</f>
        <v>25</v>
      </c>
      <c r="AF7" s="5">
        <f>'P&amp;L Assumption Sheet'!AF8</f>
        <v>25</v>
      </c>
      <c r="AG7" s="5">
        <f>'P&amp;L Assumption Sheet'!AG8</f>
        <v>25</v>
      </c>
      <c r="AH7" s="5">
        <f>'P&amp;L Assumption Sheet'!AH8</f>
        <v>25</v>
      </c>
      <c r="AJ7" s="5">
        <f>'P&amp;L Assumption Sheet'!AJ8</f>
        <v>100</v>
      </c>
    </row>
    <row r="8" spans="2:36" x14ac:dyDescent="0.2">
      <c r="B8" s="5" t="s">
        <v>34</v>
      </c>
      <c r="C8" s="5">
        <f>'P&amp;L Assumption Sheet'!C9</f>
        <v>0</v>
      </c>
      <c r="D8" s="5">
        <f>'P&amp;L Assumption Sheet'!D9</f>
        <v>0</v>
      </c>
      <c r="E8" s="5">
        <f>'P&amp;L Assumption Sheet'!E9</f>
        <v>0</v>
      </c>
      <c r="F8" s="5">
        <f>'P&amp;L Assumption Sheet'!F9</f>
        <v>0</v>
      </c>
      <c r="H8" s="5">
        <f>F8</f>
        <v>0</v>
      </c>
      <c r="J8" s="5">
        <f>'P&amp;L Assumption Sheet'!J9</f>
        <v>5</v>
      </c>
      <c r="K8" s="5">
        <f>'P&amp;L Assumption Sheet'!K9</f>
        <v>10</v>
      </c>
      <c r="L8" s="5">
        <f>'P&amp;L Assumption Sheet'!L9</f>
        <v>15</v>
      </c>
      <c r="M8" s="5">
        <f>'P&amp;L Assumption Sheet'!M9</f>
        <v>25</v>
      </c>
      <c r="O8" s="5">
        <f>M8</f>
        <v>25</v>
      </c>
      <c r="Q8" s="5">
        <f>'P&amp;L Assumption Sheet'!Q9</f>
        <v>35</v>
      </c>
      <c r="R8" s="5">
        <f>'P&amp;L Assumption Sheet'!R9</f>
        <v>45</v>
      </c>
      <c r="S8" s="5">
        <f>'P&amp;L Assumption Sheet'!S9</f>
        <v>60</v>
      </c>
      <c r="T8" s="5">
        <f>'P&amp;L Assumption Sheet'!T9</f>
        <v>75</v>
      </c>
      <c r="V8" s="5">
        <f>T8</f>
        <v>75</v>
      </c>
      <c r="X8" s="5">
        <f>'P&amp;L Assumption Sheet'!X9</f>
        <v>90</v>
      </c>
      <c r="Y8" s="5">
        <f>'P&amp;L Assumption Sheet'!Y9</f>
        <v>110</v>
      </c>
      <c r="Z8" s="5">
        <f>'P&amp;L Assumption Sheet'!Z9</f>
        <v>130</v>
      </c>
      <c r="AA8" s="5">
        <f>'P&amp;L Assumption Sheet'!AA9</f>
        <v>155</v>
      </c>
      <c r="AC8" s="5">
        <f>AA8</f>
        <v>155</v>
      </c>
      <c r="AE8" s="5">
        <f>'P&amp;L Assumption Sheet'!AE9</f>
        <v>180</v>
      </c>
      <c r="AF8" s="5">
        <f>'P&amp;L Assumption Sheet'!AF9</f>
        <v>205</v>
      </c>
      <c r="AG8" s="5">
        <f>'P&amp;L Assumption Sheet'!AG9</f>
        <v>230</v>
      </c>
      <c r="AH8" s="5">
        <f>'P&amp;L Assumption Sheet'!AH9</f>
        <v>255</v>
      </c>
      <c r="AJ8" s="5">
        <f>AH8</f>
        <v>255</v>
      </c>
    </row>
    <row r="9" spans="2:36" x14ac:dyDescent="0.2">
      <c r="B9" s="5" t="s">
        <v>73</v>
      </c>
      <c r="C9" s="7">
        <f>'P&amp;L Assumption Sheet'!C34</f>
        <v>259000</v>
      </c>
      <c r="D9" s="7">
        <f>'P&amp;L Assumption Sheet'!D34</f>
        <v>259000</v>
      </c>
      <c r="E9" s="7">
        <f>'P&amp;L Assumption Sheet'!E34</f>
        <v>259000</v>
      </c>
      <c r="F9" s="7">
        <f>'P&amp;L Assumption Sheet'!F34</f>
        <v>259000</v>
      </c>
      <c r="H9" s="7">
        <f>'P&amp;L Assumption Sheet'!H34</f>
        <v>259000</v>
      </c>
      <c r="J9" s="7">
        <f>'P&amp;L Assumption Sheet'!J34</f>
        <v>246050</v>
      </c>
      <c r="K9" s="7">
        <f>'P&amp;L Assumption Sheet'!K34</f>
        <v>246050</v>
      </c>
      <c r="L9" s="7">
        <f>'P&amp;L Assumption Sheet'!L34</f>
        <v>246050</v>
      </c>
      <c r="M9" s="7">
        <f>'P&amp;L Assumption Sheet'!M34</f>
        <v>246050</v>
      </c>
      <c r="O9" s="7">
        <f>'P&amp;L Assumption Sheet'!O34</f>
        <v>246050</v>
      </c>
      <c r="Q9" s="7">
        <f>'P&amp;L Assumption Sheet'!Q34</f>
        <v>233747.5</v>
      </c>
      <c r="R9" s="7">
        <f>'P&amp;L Assumption Sheet'!R34</f>
        <v>233747.5</v>
      </c>
      <c r="S9" s="7">
        <f>'P&amp;L Assumption Sheet'!S34</f>
        <v>233747.5</v>
      </c>
      <c r="T9" s="7">
        <f>'P&amp;L Assumption Sheet'!T34</f>
        <v>233747.5</v>
      </c>
      <c r="V9" s="7">
        <f>'P&amp;L Assumption Sheet'!V34</f>
        <v>233747.5</v>
      </c>
      <c r="X9" s="7">
        <f>'P&amp;L Assumption Sheet'!X34</f>
        <v>222060.125</v>
      </c>
      <c r="Y9" s="7">
        <f>'P&amp;L Assumption Sheet'!Y34</f>
        <v>222060.125</v>
      </c>
      <c r="Z9" s="7">
        <f>'P&amp;L Assumption Sheet'!Z34</f>
        <v>222060.125</v>
      </c>
      <c r="AA9" s="7">
        <f>'P&amp;L Assumption Sheet'!AA34</f>
        <v>222060.125</v>
      </c>
      <c r="AC9" s="7">
        <f>'P&amp;L Assumption Sheet'!AC34</f>
        <v>222060.125</v>
      </c>
      <c r="AE9" s="7">
        <f>'P&amp;L Assumption Sheet'!AE34</f>
        <v>210957.11874999999</v>
      </c>
      <c r="AF9" s="7">
        <f>'P&amp;L Assumption Sheet'!AF34</f>
        <v>210957.11874999999</v>
      </c>
      <c r="AG9" s="7">
        <f>'P&amp;L Assumption Sheet'!AG34</f>
        <v>210957.11874999999</v>
      </c>
      <c r="AH9" s="7">
        <f>'P&amp;L Assumption Sheet'!AH34</f>
        <v>210957.11874999999</v>
      </c>
      <c r="AJ9" s="7">
        <f>'P&amp;L Assumption Sheet'!AJ34</f>
        <v>210957.11874999999</v>
      </c>
    </row>
    <row r="11" spans="2:36" x14ac:dyDescent="0.2">
      <c r="B11" s="8" t="s">
        <v>76</v>
      </c>
      <c r="C11" s="9">
        <f>C7*C9</f>
        <v>0</v>
      </c>
      <c r="D11" s="9">
        <f t="shared" ref="D11:F11" si="0">D7*D9</f>
        <v>0</v>
      </c>
      <c r="E11" s="9">
        <f t="shared" si="0"/>
        <v>0</v>
      </c>
      <c r="F11" s="9">
        <f t="shared" si="0"/>
        <v>0</v>
      </c>
      <c r="G11" s="8"/>
      <c r="H11" s="9">
        <f>SUM(C11:F11)</f>
        <v>0</v>
      </c>
      <c r="I11" s="8"/>
      <c r="J11" s="9">
        <f>J7*J9</f>
        <v>1230250</v>
      </c>
      <c r="K11" s="9">
        <f t="shared" ref="K11:M11" si="1">K7*K9</f>
        <v>1230250</v>
      </c>
      <c r="L11" s="9">
        <f t="shared" si="1"/>
        <v>1230250</v>
      </c>
      <c r="M11" s="9">
        <f t="shared" si="1"/>
        <v>2460500</v>
      </c>
      <c r="N11" s="8"/>
      <c r="O11" s="9">
        <f>SUM(J11:M11)</f>
        <v>6151250</v>
      </c>
      <c r="P11" s="8"/>
      <c r="Q11" s="9">
        <f>Q7*Q9</f>
        <v>2337475</v>
      </c>
      <c r="R11" s="9">
        <f t="shared" ref="R11:T11" si="2">R7*R9</f>
        <v>2337475</v>
      </c>
      <c r="S11" s="9">
        <f t="shared" si="2"/>
        <v>3506212.5</v>
      </c>
      <c r="T11" s="9">
        <f t="shared" si="2"/>
        <v>3506212.5</v>
      </c>
      <c r="U11" s="8"/>
      <c r="V11" s="9">
        <f>SUM(Q11:T11)</f>
        <v>11687375</v>
      </c>
      <c r="W11" s="8"/>
      <c r="X11" s="9">
        <f>X7*X9</f>
        <v>3330901.875</v>
      </c>
      <c r="Y11" s="9">
        <f t="shared" ref="Y11:AA11" si="3">Y7*Y9</f>
        <v>4441202.5</v>
      </c>
      <c r="Z11" s="9">
        <f t="shared" si="3"/>
        <v>4441202.5</v>
      </c>
      <c r="AA11" s="9">
        <f t="shared" si="3"/>
        <v>5551503.125</v>
      </c>
      <c r="AB11" s="8"/>
      <c r="AC11" s="9">
        <f>SUM(X11:AA11)</f>
        <v>17764810</v>
      </c>
      <c r="AD11" s="8"/>
      <c r="AE11" s="9">
        <f>AE7*AE9</f>
        <v>5273927.96875</v>
      </c>
      <c r="AF11" s="9">
        <f t="shared" ref="AF11:AH11" si="4">AF7*AF9</f>
        <v>5273927.96875</v>
      </c>
      <c r="AG11" s="9">
        <f t="shared" si="4"/>
        <v>5273927.96875</v>
      </c>
      <c r="AH11" s="9">
        <f t="shared" si="4"/>
        <v>5273927.96875</v>
      </c>
      <c r="AI11" s="8"/>
      <c r="AJ11" s="9">
        <f>SUM(AE11:AH11)</f>
        <v>21095711.875</v>
      </c>
    </row>
    <row r="12" spans="2:36" x14ac:dyDescent="0.2">
      <c r="B12" s="5" t="s">
        <v>77</v>
      </c>
      <c r="C12" s="7">
        <f>C11*25%</f>
        <v>0</v>
      </c>
      <c r="D12" s="7">
        <f t="shared" ref="D12" si="5">D11*25%</f>
        <v>0</v>
      </c>
      <c r="E12" s="7">
        <f>E11*'Assumption Sheet'!$C$11</f>
        <v>0</v>
      </c>
      <c r="F12" s="7">
        <f>F11*'Assumption Sheet'!$C$11</f>
        <v>0</v>
      </c>
      <c r="H12" s="7">
        <f>H11*'Assumption Sheet'!$C$11</f>
        <v>0</v>
      </c>
      <c r="J12" s="7">
        <f>J11*'Assumption Sheet'!$C$11</f>
        <v>307562.5</v>
      </c>
      <c r="K12" s="7">
        <f>K11*'Assumption Sheet'!$C$11</f>
        <v>307562.5</v>
      </c>
      <c r="L12" s="7">
        <f>L11*'Assumption Sheet'!$C$11</f>
        <v>307562.5</v>
      </c>
      <c r="M12" s="7">
        <f>M11*'Assumption Sheet'!$C$11</f>
        <v>615125</v>
      </c>
      <c r="O12" s="7">
        <f>O11*'Assumption Sheet'!$C$11</f>
        <v>1537812.5</v>
      </c>
      <c r="Q12" s="7">
        <f>Q11*'Assumption Sheet'!$C$11</f>
        <v>584368.75</v>
      </c>
      <c r="R12" s="7">
        <f>R11*'Assumption Sheet'!$C$11</f>
        <v>584368.75</v>
      </c>
      <c r="S12" s="7">
        <f>S11*'Assumption Sheet'!$C$11</f>
        <v>876553.125</v>
      </c>
      <c r="T12" s="7">
        <f>T11*'Assumption Sheet'!$C$11</f>
        <v>876553.125</v>
      </c>
      <c r="V12" s="7">
        <f>V11*'Assumption Sheet'!$C$11</f>
        <v>2921843.75</v>
      </c>
      <c r="X12" s="7">
        <f>X11*'Assumption Sheet'!$C$11</f>
        <v>832725.46875</v>
      </c>
      <c r="Y12" s="7">
        <f>Y11*'Assumption Sheet'!$C$11</f>
        <v>1110300.625</v>
      </c>
      <c r="Z12" s="7">
        <f>Z11*'Assumption Sheet'!$C$11</f>
        <v>1110300.625</v>
      </c>
      <c r="AA12" s="7">
        <f>AA11*'Assumption Sheet'!$C$11</f>
        <v>1387875.78125</v>
      </c>
      <c r="AC12" s="7">
        <f>AC11*'Assumption Sheet'!$C$11</f>
        <v>4441202.5</v>
      </c>
      <c r="AE12" s="7">
        <f>AE11*'Assumption Sheet'!$C$11</f>
        <v>1318481.9921875</v>
      </c>
      <c r="AF12" s="7">
        <f>AF11*'Assumption Sheet'!$C$11</f>
        <v>1318481.9921875</v>
      </c>
      <c r="AG12" s="7">
        <f>AG11*'Assumption Sheet'!$C$11</f>
        <v>1318481.9921875</v>
      </c>
      <c r="AH12" s="7">
        <f>AH11*'Assumption Sheet'!$C$11</f>
        <v>1318481.9921875</v>
      </c>
      <c r="AJ12" s="7">
        <f>AJ11*'Assumption Sheet'!$C$11</f>
        <v>5273927.96875</v>
      </c>
    </row>
    <row r="13" spans="2:36" x14ac:dyDescent="0.2">
      <c r="B13" s="5" t="s">
        <v>78</v>
      </c>
      <c r="C13" s="7">
        <f>C11*75%</f>
        <v>0</v>
      </c>
      <c r="D13" s="7">
        <f t="shared" ref="D13" si="6">D11*75%</f>
        <v>0</v>
      </c>
      <c r="E13" s="7">
        <f>E11*'Assumption Sheet'!$C$12</f>
        <v>0</v>
      </c>
      <c r="F13" s="7">
        <f>F11*'Assumption Sheet'!$C$12</f>
        <v>0</v>
      </c>
      <c r="H13" s="7">
        <f>H11*'Assumption Sheet'!$C$12</f>
        <v>0</v>
      </c>
      <c r="J13" s="7">
        <f>J11*'Assumption Sheet'!$C$12</f>
        <v>922687.5</v>
      </c>
      <c r="K13" s="7">
        <f>K11*'Assumption Sheet'!$C$12</f>
        <v>922687.5</v>
      </c>
      <c r="L13" s="7">
        <f>L11*'Assumption Sheet'!$C$12</f>
        <v>922687.5</v>
      </c>
      <c r="M13" s="7">
        <f>M11*'Assumption Sheet'!$C$12</f>
        <v>1845375</v>
      </c>
      <c r="O13" s="7">
        <f>O11*'Assumption Sheet'!$C$12</f>
        <v>4613437.5</v>
      </c>
      <c r="Q13" s="7">
        <f>Q11*'Assumption Sheet'!$C$12</f>
        <v>1753106.25</v>
      </c>
      <c r="R13" s="7">
        <f>R11*'Assumption Sheet'!$C$12</f>
        <v>1753106.25</v>
      </c>
      <c r="S13" s="7">
        <f>S11*'Assumption Sheet'!$C$12</f>
        <v>2629659.375</v>
      </c>
      <c r="T13" s="7">
        <f>T11*'Assumption Sheet'!$C$12</f>
        <v>2629659.375</v>
      </c>
      <c r="V13" s="7">
        <f>V11*'Assumption Sheet'!$C$12</f>
        <v>8765531.25</v>
      </c>
      <c r="X13" s="7">
        <f>X11*'Assumption Sheet'!$C$12</f>
        <v>2498176.40625</v>
      </c>
      <c r="Y13" s="7">
        <f>Y11*'Assumption Sheet'!$C$12</f>
        <v>3330901.875</v>
      </c>
      <c r="Z13" s="7">
        <f>Z11*'Assumption Sheet'!$C$12</f>
        <v>3330901.875</v>
      </c>
      <c r="AA13" s="7">
        <f>AA11*'Assumption Sheet'!$C$12</f>
        <v>4163627.34375</v>
      </c>
      <c r="AC13" s="7">
        <f>AC11*'Assumption Sheet'!$C$12</f>
        <v>13323607.5</v>
      </c>
      <c r="AE13" s="7">
        <f>AE11*'Assumption Sheet'!$C$12</f>
        <v>3955445.9765625</v>
      </c>
      <c r="AF13" s="7">
        <f>AF11*'Assumption Sheet'!$C$12</f>
        <v>3955445.9765625</v>
      </c>
      <c r="AG13" s="7">
        <f>AG11*'Assumption Sheet'!$C$12</f>
        <v>3955445.9765625</v>
      </c>
      <c r="AH13" s="7">
        <f>AH11*'Assumption Sheet'!$C$12</f>
        <v>3955445.9765625</v>
      </c>
      <c r="AJ13" s="7">
        <f>AJ11*'Assumption Sheet'!$C$12</f>
        <v>15821783.90625</v>
      </c>
    </row>
    <row r="15" spans="2:36" x14ac:dyDescent="0.2">
      <c r="B15" s="5" t="s">
        <v>87</v>
      </c>
    </row>
    <row r="16" spans="2:36" x14ac:dyDescent="0.2">
      <c r="B16" s="5" t="s">
        <v>79</v>
      </c>
      <c r="C16" s="7">
        <v>0</v>
      </c>
      <c r="D16" s="7">
        <f>C19</f>
        <v>0</v>
      </c>
      <c r="E16" s="7">
        <f t="shared" ref="E16:F16" si="7">D19</f>
        <v>0</v>
      </c>
      <c r="F16" s="7">
        <f t="shared" si="7"/>
        <v>0</v>
      </c>
      <c r="H16" s="7">
        <f>C16</f>
        <v>0</v>
      </c>
      <c r="J16" s="7">
        <f>F19</f>
        <v>0</v>
      </c>
      <c r="K16" s="7">
        <f t="shared" ref="K16:M16" si="8">J19</f>
        <v>907557.01358497248</v>
      </c>
      <c r="L16" s="7">
        <f t="shared" si="8"/>
        <v>1800231.6546820654</v>
      </c>
      <c r="M16" s="7">
        <f t="shared" si="8"/>
        <v>2678267.9685771978</v>
      </c>
      <c r="O16" s="7">
        <f>J16</f>
        <v>0</v>
      </c>
      <c r="Q16" s="7">
        <f>M19</f>
        <v>4449463.0122187426</v>
      </c>
      <c r="R16" s="7">
        <f t="shared" ref="R16:T16" si="9">Q19</f>
        <v>6100857.8052408732</v>
      </c>
      <c r="S16" s="7">
        <f t="shared" si="9"/>
        <v>7725172.5668529449</v>
      </c>
      <c r="T16" s="7">
        <f t="shared" si="9"/>
        <v>10185030.525852297</v>
      </c>
      <c r="V16" s="7">
        <f>Q16</f>
        <v>4449463.0122187426</v>
      </c>
      <c r="X16" s="7">
        <f>T19</f>
        <v>12604551.049445253</v>
      </c>
      <c r="Y16" s="7">
        <f t="shared" ref="Y16:AA16" si="10">X19</f>
        <v>14855068.727687927</v>
      </c>
      <c r="Z16" s="7">
        <f t="shared" si="10"/>
        <v>17887751.995469272</v>
      </c>
      <c r="AA16" s="7">
        <f t="shared" si="10"/>
        <v>20870704.479009751</v>
      </c>
      <c r="AC16" s="7">
        <f>X16</f>
        <v>12604551.049445253</v>
      </c>
      <c r="AE16" s="7">
        <f>AA19</f>
        <v>24623811.882310186</v>
      </c>
      <c r="AF16" s="7">
        <f t="shared" ref="AF16:AH16" si="11">AE19</f>
        <v>28110607.234706603</v>
      </c>
      <c r="AG16" s="7">
        <f t="shared" si="11"/>
        <v>31540225.146516241</v>
      </c>
      <c r="AH16" s="7">
        <f t="shared" si="11"/>
        <v>34913603.229322702</v>
      </c>
      <c r="AJ16" s="7">
        <f>AE16</f>
        <v>24623811.882310186</v>
      </c>
    </row>
    <row r="17" spans="2:38" x14ac:dyDescent="0.2">
      <c r="B17" s="5" t="s">
        <v>80</v>
      </c>
      <c r="C17" s="7">
        <f>C13</f>
        <v>0</v>
      </c>
      <c r="D17" s="7">
        <f>D13</f>
        <v>0</v>
      </c>
      <c r="E17" s="7">
        <f t="shared" ref="E17:F17" si="12">E13</f>
        <v>0</v>
      </c>
      <c r="F17" s="7">
        <f t="shared" si="12"/>
        <v>0</v>
      </c>
      <c r="H17" s="7">
        <f>SUM(C17:F17)</f>
        <v>0</v>
      </c>
      <c r="J17" s="7">
        <f>J13</f>
        <v>922687.5</v>
      </c>
      <c r="K17" s="7">
        <f t="shared" ref="K17:M17" si="13">K13</f>
        <v>922687.5</v>
      </c>
      <c r="L17" s="7">
        <f t="shared" si="13"/>
        <v>922687.5</v>
      </c>
      <c r="M17" s="7">
        <f t="shared" si="13"/>
        <v>1845375</v>
      </c>
      <c r="O17" s="7">
        <f>SUM(J17:M17)</f>
        <v>4613437.5</v>
      </c>
      <c r="Q17" s="7">
        <f>Q13</f>
        <v>1753106.25</v>
      </c>
      <c r="R17" s="7">
        <f t="shared" ref="R17:T17" si="14">R13</f>
        <v>1753106.25</v>
      </c>
      <c r="S17" s="7">
        <f t="shared" si="14"/>
        <v>2629659.375</v>
      </c>
      <c r="T17" s="7">
        <f t="shared" si="14"/>
        <v>2629659.375</v>
      </c>
      <c r="V17" s="7">
        <f>SUM(Q17:T17)</f>
        <v>8765531.25</v>
      </c>
      <c r="X17" s="7">
        <f>X13</f>
        <v>2498176.40625</v>
      </c>
      <c r="Y17" s="7">
        <f t="shared" ref="Y17:AA17" si="15">Y13</f>
        <v>3330901.875</v>
      </c>
      <c r="Z17" s="7">
        <f t="shared" si="15"/>
        <v>3330901.875</v>
      </c>
      <c r="AA17" s="7">
        <f t="shared" si="15"/>
        <v>4163627.34375</v>
      </c>
      <c r="AC17" s="7">
        <f>SUM(X17:AA17)</f>
        <v>13323607.5</v>
      </c>
      <c r="AE17" s="7">
        <f>AE13</f>
        <v>3955445.9765625</v>
      </c>
      <c r="AF17" s="7">
        <f t="shared" ref="AF17:AH17" si="16">AF13</f>
        <v>3955445.9765625</v>
      </c>
      <c r="AG17" s="7">
        <f t="shared" si="16"/>
        <v>3955445.9765625</v>
      </c>
      <c r="AH17" s="7">
        <f t="shared" si="16"/>
        <v>3955445.9765625</v>
      </c>
      <c r="AJ17" s="7">
        <f>SUM(AE17:AH17)</f>
        <v>15821783.90625</v>
      </c>
    </row>
    <row r="18" spans="2:38" x14ac:dyDescent="0.2">
      <c r="B18" s="5" t="s">
        <v>81</v>
      </c>
      <c r="C18" s="7">
        <v>0</v>
      </c>
      <c r="D18" s="7">
        <v>0</v>
      </c>
      <c r="E18" s="7">
        <f>-PPMT('Assumption Sheet'!$C$15/12,1,'Assumption Sheet'!$C$17,'Capital Deployment &amp; Debt Repay'!E16+'Capital Deployment &amp; Debt Repay'!E17)*3</f>
        <v>0</v>
      </c>
      <c r="F18" s="7">
        <f>-PPMT('Assumption Sheet'!$C$15/12,1,'Assumption Sheet'!$C$17,'Capital Deployment &amp; Debt Repay'!F16+'Capital Deployment &amp; Debt Repay'!F17)*3</f>
        <v>0</v>
      </c>
      <c r="H18" s="7">
        <f>SUM(C18:F18)</f>
        <v>0</v>
      </c>
      <c r="J18" s="7">
        <f>-PPMT('Assumption Sheet'!$C$15/12,1,'Assumption Sheet'!$C$17,'Capital Deployment &amp; Debt Repay'!J16+'Capital Deployment &amp; Debt Repay'!J17)*3</f>
        <v>15130.486415027515</v>
      </c>
      <c r="K18" s="7">
        <f>-PPMT('Assumption Sheet'!$C$15/12,1,'Assumption Sheet'!$C$17,'Capital Deployment &amp; Debt Repay'!K16+'Capital Deployment &amp; Debt Repay'!K17)*3</f>
        <v>30012.858902907072</v>
      </c>
      <c r="L18" s="7">
        <f>-PPMT('Assumption Sheet'!$C$15/12,1,'Assumption Sheet'!$C$17,'Capital Deployment &amp; Debt Repay'!L16+'Capital Deployment &amp; Debt Repay'!L17)*3</f>
        <v>44651.186104867797</v>
      </c>
      <c r="M18" s="7">
        <f>-PPMT('Assumption Sheet'!$C$15/12,1,'Assumption Sheet'!$C$17,'Capital Deployment &amp; Debt Repay'!M16+'Capital Deployment &amp; Debt Repay'!M17)*3</f>
        <v>74179.956358455092</v>
      </c>
      <c r="O18" s="7">
        <f>SUM(J18:M18)</f>
        <v>163974.48778125749</v>
      </c>
      <c r="Q18" s="7">
        <f>-PPMT('Assumption Sheet'!$C$15/12,1,'Assumption Sheet'!$C$17,'Capital Deployment &amp; Debt Repay'!Q16+'Capital Deployment &amp; Debt Repay'!Q17)*3</f>
        <v>101711.45697786947</v>
      </c>
      <c r="R18" s="7">
        <f>-PPMT('Assumption Sheet'!$C$15/12,1,'Assumption Sheet'!$C$17,'Capital Deployment &amp; Debt Repay'!R16+'Capital Deployment &amp; Debt Repay'!R17)*3</f>
        <v>128791.48838792817</v>
      </c>
      <c r="S18" s="7">
        <f>-PPMT('Assumption Sheet'!$C$15/12,1,'Assumption Sheet'!$C$17,'Capital Deployment &amp; Debt Repay'!S16+'Capital Deployment &amp; Debt Repay'!S17)*3</f>
        <v>169801.41600064919</v>
      </c>
      <c r="T18" s="7">
        <f>-PPMT('Assumption Sheet'!$C$15/12,1,'Assumption Sheet'!$C$17,'Capital Deployment &amp; Debt Repay'!T16+'Capital Deployment &amp; Debt Repay'!T17)*3</f>
        <v>210138.851407043</v>
      </c>
      <c r="V18" s="7">
        <f>SUM(Q18:T18)</f>
        <v>610443.21277348977</v>
      </c>
      <c r="X18" s="7">
        <f>-PPMT('Assumption Sheet'!$C$15/12,1,'Assumption Sheet'!$C$17,'Capital Deployment &amp; Debt Repay'!X16+'Capital Deployment &amp; Debt Repay'!X17)*3</f>
        <v>247658.72800732654</v>
      </c>
      <c r="Y18" s="7">
        <f>-PPMT('Assumption Sheet'!$C$15/12,1,'Assumption Sheet'!$C$17,'Capital Deployment &amp; Debt Repay'!Y16+'Capital Deployment &amp; Debt Repay'!Y17)*3</f>
        <v>298218.60721865145</v>
      </c>
      <c r="Z18" s="7">
        <f>-PPMT('Assumption Sheet'!$C$15/12,1,'Assumption Sheet'!$C$17,'Capital Deployment &amp; Debt Repay'!Z16+'Capital Deployment &amp; Debt Repay'!Z17)*3</f>
        <v>347949.39145952044</v>
      </c>
      <c r="AA18" s="7">
        <f>-PPMT('Assumption Sheet'!$C$15/12,1,'Assumption Sheet'!$C$17,'Capital Deployment &amp; Debt Repay'!AA16+'Capital Deployment &amp; Debt Repay'!AA17)*3</f>
        <v>410519.94044956437</v>
      </c>
      <c r="AC18" s="7">
        <f>SUM(X18:AA18)</f>
        <v>1304346.6671350626</v>
      </c>
      <c r="AE18" s="7">
        <f>-PPMT('Assumption Sheet'!$C$15/12,1,'Assumption Sheet'!$C$17,'Capital Deployment &amp; Debt Repay'!AE16+'Capital Deployment &amp; Debt Repay'!AE17)*3</f>
        <v>468650.62416608183</v>
      </c>
      <c r="AF18" s="7">
        <f>-PPMT('Assumption Sheet'!$C$15/12,1,'Assumption Sheet'!$C$17,'Capital Deployment &amp; Debt Repay'!AF16+'Capital Deployment &amp; Debt Repay'!AF17)*3</f>
        <v>525828.06475286232</v>
      </c>
      <c r="AG18" s="7">
        <f>-PPMT('Assumption Sheet'!$C$15/12,1,'Assumption Sheet'!$C$17,'Capital Deployment &amp; Debt Repay'!AG16+'Capital Deployment &amp; Debt Repay'!AG17)*3</f>
        <v>582067.89375604142</v>
      </c>
      <c r="AH18" s="7">
        <f>-PPMT('Assumption Sheet'!$C$15/12,1,'Assumption Sheet'!$C$17,'Capital Deployment &amp; Debt Repay'!AH16+'Capital Deployment &amp; Debt Repay'!AH17)*3</f>
        <v>637385.48639131035</v>
      </c>
      <c r="AJ18" s="7">
        <f>SUM(AE18:AH18)</f>
        <v>2213932.0690662963</v>
      </c>
    </row>
    <row r="19" spans="2:38" x14ac:dyDescent="0.2">
      <c r="B19" s="23" t="s">
        <v>82</v>
      </c>
      <c r="C19" s="24">
        <f>C16+C17-C18</f>
        <v>0</v>
      </c>
      <c r="D19" s="24">
        <f t="shared" ref="D19:AJ19" si="17">D16+D17-D18</f>
        <v>0</v>
      </c>
      <c r="E19" s="24">
        <f>E16+E17-E18</f>
        <v>0</v>
      </c>
      <c r="F19" s="25">
        <f>F16+F17-F18</f>
        <v>0</v>
      </c>
      <c r="H19" s="26">
        <f t="shared" si="17"/>
        <v>0</v>
      </c>
      <c r="J19" s="29">
        <f t="shared" si="17"/>
        <v>907557.01358497248</v>
      </c>
      <c r="K19" s="24">
        <f t="shared" si="17"/>
        <v>1800231.6546820654</v>
      </c>
      <c r="L19" s="24">
        <f t="shared" si="17"/>
        <v>2678267.9685771978</v>
      </c>
      <c r="M19" s="25">
        <f t="shared" si="17"/>
        <v>4449463.0122187426</v>
      </c>
      <c r="O19" s="26">
        <f t="shared" si="17"/>
        <v>4449463.0122187426</v>
      </c>
      <c r="Q19" s="29">
        <f t="shared" si="17"/>
        <v>6100857.8052408732</v>
      </c>
      <c r="R19" s="24">
        <f t="shared" si="17"/>
        <v>7725172.5668529449</v>
      </c>
      <c r="S19" s="24">
        <f t="shared" si="17"/>
        <v>10185030.525852297</v>
      </c>
      <c r="T19" s="25">
        <f t="shared" si="17"/>
        <v>12604551.049445253</v>
      </c>
      <c r="V19" s="26">
        <f t="shared" si="17"/>
        <v>12604551.049445253</v>
      </c>
      <c r="X19" s="29">
        <f t="shared" si="17"/>
        <v>14855068.727687927</v>
      </c>
      <c r="Y19" s="24">
        <f t="shared" si="17"/>
        <v>17887751.995469272</v>
      </c>
      <c r="Z19" s="24">
        <f t="shared" si="17"/>
        <v>20870704.479009751</v>
      </c>
      <c r="AA19" s="25">
        <f t="shared" si="17"/>
        <v>24623811.882310186</v>
      </c>
      <c r="AC19" s="26">
        <f t="shared" si="17"/>
        <v>24623811.882310189</v>
      </c>
      <c r="AE19" s="29">
        <f t="shared" si="17"/>
        <v>28110607.234706603</v>
      </c>
      <c r="AF19" s="24">
        <f t="shared" si="17"/>
        <v>31540225.146516241</v>
      </c>
      <c r="AG19" s="24">
        <f t="shared" si="17"/>
        <v>34913603.229322702</v>
      </c>
      <c r="AH19" s="25">
        <f t="shared" si="17"/>
        <v>38231663.719493888</v>
      </c>
      <c r="AJ19" s="26">
        <f t="shared" si="17"/>
        <v>38231663.719493888</v>
      </c>
      <c r="AL19" s="33"/>
    </row>
    <row r="20" spans="2:38" x14ac:dyDescent="0.2">
      <c r="E20" s="7"/>
      <c r="F20" s="7"/>
      <c r="H20" s="7"/>
    </row>
    <row r="21" spans="2:38" x14ac:dyDescent="0.2">
      <c r="B21" s="23" t="s">
        <v>83</v>
      </c>
      <c r="C21" s="24">
        <v>0</v>
      </c>
      <c r="D21" s="24">
        <v>0</v>
      </c>
      <c r="E21" s="24">
        <f>-IPMT('Assumption Sheet'!$C$15/12,1,'Assumption Sheet'!$C$17,'Capital Deployment &amp; Debt Repay'!E$19)*3</f>
        <v>0</v>
      </c>
      <c r="F21" s="25">
        <f>-IPMT('Assumption Sheet'!$C$15/12,1,'Assumption Sheet'!$C$17,'Capital Deployment &amp; Debt Repay'!F$19)*3</f>
        <v>0</v>
      </c>
      <c r="H21" s="26">
        <f>SUM(C21:F21)</f>
        <v>0</v>
      </c>
      <c r="J21" s="29">
        <f>-IPMT('Assumption Sheet'!$C$15/12,1,'Assumption Sheet'!$C$17,'Capital Deployment &amp; Debt Repay'!J$19)*3</f>
        <v>18151.140271699453</v>
      </c>
      <c r="K21" s="24">
        <f>-IPMT('Assumption Sheet'!$C$15/12,1,'Assumption Sheet'!$C$17,'Capital Deployment &amp; Debt Repay'!K$19)*3</f>
        <v>36004.633093641307</v>
      </c>
      <c r="L21" s="24">
        <f>-IPMT('Assumption Sheet'!$C$15/12,1,'Assumption Sheet'!$C$17,'Capital Deployment &amp; Debt Repay'!L$19)*3</f>
        <v>53565.359371543964</v>
      </c>
      <c r="M21" s="25">
        <f>-IPMT('Assumption Sheet'!$C$15/12,1,'Assumption Sheet'!$C$17,'Capital Deployment &amp; Debt Repay'!M$19)*3</f>
        <v>88989.260244374862</v>
      </c>
      <c r="O21" s="26">
        <f>SUM(J21:M21)</f>
        <v>196710.39298125959</v>
      </c>
      <c r="Q21" s="29">
        <f>-IPMT('Assumption Sheet'!$C$15/12,1,'Assumption Sheet'!$C$17,'Capital Deployment &amp; Debt Repay'!Q$19)*3</f>
        <v>122017.15610481749</v>
      </c>
      <c r="R21" s="24">
        <f>-IPMT('Assumption Sheet'!$C$15/12,1,'Assumption Sheet'!$C$17,'Capital Deployment &amp; Debt Repay'!R$19)*3</f>
        <v>154503.45133705891</v>
      </c>
      <c r="S21" s="24">
        <f>-IPMT('Assumption Sheet'!$C$15/12,1,'Assumption Sheet'!$C$17,'Capital Deployment &amp; Debt Repay'!S$19)*3</f>
        <v>203700.61051704595</v>
      </c>
      <c r="T21" s="25">
        <f>-IPMT('Assumption Sheet'!$C$15/12,1,'Assumption Sheet'!$C$17,'Capital Deployment &amp; Debt Repay'!T$19)*3</f>
        <v>252091.0209889051</v>
      </c>
      <c r="V21" s="26">
        <f>SUM(Q21:T21)</f>
        <v>732312.23894782749</v>
      </c>
      <c r="X21" s="29">
        <f>-IPMT('Assumption Sheet'!$C$15/12,1,'Assumption Sheet'!$C$17,'Capital Deployment &amp; Debt Repay'!X$19)*3</f>
        <v>297101.37455375859</v>
      </c>
      <c r="Y21" s="24">
        <f>-IPMT('Assumption Sheet'!$C$15/12,1,'Assumption Sheet'!$C$17,'Capital Deployment &amp; Debt Repay'!Y$19)*3</f>
        <v>357755.03990938544</v>
      </c>
      <c r="Z21" s="24">
        <f>-IPMT('Assumption Sheet'!$C$15/12,1,'Assumption Sheet'!$C$17,'Capital Deployment &amp; Debt Repay'!Z$19)*3</f>
        <v>417414.08958019508</v>
      </c>
      <c r="AA21" s="25">
        <f>-IPMT('Assumption Sheet'!$C$15/12,1,'Assumption Sheet'!$C$17,'Capital Deployment &amp; Debt Repay'!AA$19)*3</f>
        <v>492476.23764620372</v>
      </c>
      <c r="AC21" s="26">
        <f>SUM(X21:AA21)</f>
        <v>1564746.7416895428</v>
      </c>
      <c r="AE21" s="29">
        <f>-IPMT('Assumption Sheet'!$C$15/12,1,'Assumption Sheet'!$C$17,'Capital Deployment &amp; Debt Repay'!AE$19)*3</f>
        <v>562212.14469413203</v>
      </c>
      <c r="AF21" s="24">
        <f>-IPMT('Assumption Sheet'!$C$15/12,1,'Assumption Sheet'!$C$17,'Capital Deployment &amp; Debt Repay'!AF$19)*3</f>
        <v>630804.50293032499</v>
      </c>
      <c r="AG21" s="24">
        <f>-IPMT('Assumption Sheet'!$C$15/12,1,'Assumption Sheet'!$C$17,'Capital Deployment &amp; Debt Repay'!AG$19)*3</f>
        <v>698272.06458645407</v>
      </c>
      <c r="AH21" s="25">
        <f>-IPMT('Assumption Sheet'!$C$15/12,1,'Assumption Sheet'!$C$17,'Capital Deployment &amp; Debt Repay'!AH$19)*3</f>
        <v>764633.27438987792</v>
      </c>
      <c r="AJ21" s="26">
        <f>SUM(AE21:AH21)</f>
        <v>2655921.9866007892</v>
      </c>
    </row>
    <row r="23" spans="2:38" hidden="1" outlineLevel="1" x14ac:dyDescent="0.2">
      <c r="B23" s="5" t="s">
        <v>160</v>
      </c>
      <c r="E23" s="7">
        <f>-(PMT('Assumption Sheet'!$C$15/12,'Assumption Sheet'!$C$17,'Capital Deployment &amp; Debt Repay'!E16+'Capital Deployment &amp; Debt Repay'!E17)*3)</f>
        <v>0</v>
      </c>
      <c r="F23" s="7">
        <f>-(PMT('Assumption Sheet'!$C$15/12,'Assumption Sheet'!$C$17,'Capital Deployment &amp; Debt Repay'!F16+'Capital Deployment &amp; Debt Repay'!F17)*3)</f>
        <v>0</v>
      </c>
      <c r="G23" s="7"/>
      <c r="H23" s="7">
        <f>SUM(C23:F23)</f>
        <v>0</v>
      </c>
      <c r="J23" s="7">
        <f>-(PMT('Assumption Sheet'!$C$15/12,'Assumption Sheet'!$C$17,'Capital Deployment &amp; Debt Repay'!J16+'Capital Deployment &amp; Debt Repay'!J17)*3)</f>
        <v>33584.236415027517</v>
      </c>
      <c r="K23" s="7">
        <f>-(PMT('Assumption Sheet'!$C$15/12,'Assumption Sheet'!$C$17,'Capital Deployment &amp; Debt Repay'!K16+'Capital Deployment &amp; Debt Repay'!K17)*3)</f>
        <v>66617.749174606521</v>
      </c>
      <c r="L23" s="7">
        <f>-(PMT('Assumption Sheet'!$C$15/12,'Assumption Sheet'!$C$17,'Capital Deployment &amp; Debt Repay'!L16+'Capital Deployment &amp; Debt Repay'!L17)*3)</f>
        <v>99109.569198509125</v>
      </c>
      <c r="M23" s="7">
        <f>-(PMT('Assumption Sheet'!$C$15/12,'Assumption Sheet'!$C$17,'Capital Deployment &amp; Debt Repay'!M16+'Capital Deployment &amp; Debt Repay'!M17)*3)</f>
        <v>164652.81572999907</v>
      </c>
      <c r="O23" s="7">
        <f>SUM(J23:M23)</f>
        <v>363964.37051814224</v>
      </c>
      <c r="Q23" s="7">
        <f>-(PMT('Assumption Sheet'!$C$15/12,'Assumption Sheet'!$C$17,'Capital Deployment &amp; Debt Repay'!Q16+'Capital Deployment &amp; Debt Repay'!Q17)*3)</f>
        <v>225762.84222224436</v>
      </c>
      <c r="R23" s="7">
        <f>-(PMT('Assumption Sheet'!$C$15/12,'Assumption Sheet'!$C$17,'Capital Deployment &amp; Debt Repay'!R16+'Capital Deployment &amp; Debt Repay'!R17)*3)</f>
        <v>285870.76949274563</v>
      </c>
      <c r="S23" s="7">
        <f>-(PMT('Assumption Sheet'!$C$15/12,'Assumption Sheet'!$C$17,'Capital Deployment &amp; Debt Repay'!S16+'Capital Deployment &amp; Debt Repay'!S17)*3)</f>
        <v>376898.05483770813</v>
      </c>
      <c r="T23" s="7">
        <f>-(PMT('Assumption Sheet'!$C$15/12,'Assumption Sheet'!$C$17,'Capital Deployment &amp; Debt Repay'!T16+'Capital Deployment &amp; Debt Repay'!T17)*3)</f>
        <v>466432.64942408889</v>
      </c>
      <c r="V23" s="7">
        <f>SUM(Q23:T23)</f>
        <v>1354964.3159767869</v>
      </c>
      <c r="X23" s="7">
        <f>-(PMT('Assumption Sheet'!$C$15/12,'Assumption Sheet'!$C$17,'Capital Deployment &amp; Debt Repay'!X16+'Capital Deployment &amp; Debt Repay'!X17)*3)</f>
        <v>549713.27712123166</v>
      </c>
      <c r="Y23" s="7">
        <f>-(PMT('Assumption Sheet'!$C$15/12,'Assumption Sheet'!$C$17,'Capital Deployment &amp; Debt Repay'!Y16+'Capital Deployment &amp; Debt Repay'!Y17)*3)</f>
        <v>661938.01927240985</v>
      </c>
      <c r="Z23" s="7">
        <f>-(PMT('Assumption Sheet'!$C$15/12,'Assumption Sheet'!$C$17,'Capital Deployment &amp; Debt Repay'!Z16+'Capital Deployment &amp; Debt Repay'!Z17)*3)</f>
        <v>772322.46886890591</v>
      </c>
      <c r="AA23" s="7">
        <f>-(PMT('Assumption Sheet'!$C$15/12,'Assumption Sheet'!$C$17,'Capital Deployment &amp; Debt Repay'!AA16+'Capital Deployment &amp; Debt Repay'!AA17)*3)</f>
        <v>911206.57690475951</v>
      </c>
      <c r="AC23" s="7">
        <f>SUM(X23:AA23)</f>
        <v>2895180.3421673067</v>
      </c>
      <c r="AE23" s="7">
        <f>-(PMT('Assumption Sheet'!$C$15/12,'Assumption Sheet'!$C$17,'Capital Deployment &amp; Debt Repay'!AE16+'Capital Deployment &amp; Debt Repay'!AE17)*3)</f>
        <v>1040235.7813435356</v>
      </c>
      <c r="AF23" s="7">
        <f>-(PMT('Assumption Sheet'!$C$15/12,'Assumption Sheet'!$C$17,'Capital Deployment &amp; Debt Repay'!AF16+'Capital Deployment &amp; Debt Repay'!AF17)*3)</f>
        <v>1167149.1289782445</v>
      </c>
      <c r="AG23" s="7">
        <f>-(PMT('Assumption Sheet'!$C$15/12,'Assumption Sheet'!$C$17,'Capital Deployment &amp; Debt Repay'!AG16+'Capital Deployment &amp; Debt Repay'!AG17)*3)</f>
        <v>1291981.3162176162</v>
      </c>
      <c r="AH23" s="7">
        <f>-(PMT('Assumption Sheet'!$C$15/12,'Assumption Sheet'!$C$17,'Capital Deployment &amp; Debt Repay'!AH16+'Capital Deployment &amp; Debt Repay'!AH17)*3)</f>
        <v>1414766.4705090146</v>
      </c>
      <c r="AJ23" s="7">
        <f>SUM(AE23:AH23)</f>
        <v>4914132.6970484108</v>
      </c>
    </row>
    <row r="24" spans="2:38" hidden="1" outlineLevel="1" x14ac:dyDescent="0.2">
      <c r="B24" s="5" t="s">
        <v>94</v>
      </c>
      <c r="E24" s="7">
        <f>-IPMT('Assumption Sheet'!$C$15/12,1,'Assumption Sheet'!$C$17,'Capital Deployment &amp; Debt Repay'!E$19)*3</f>
        <v>0</v>
      </c>
      <c r="F24" s="7">
        <f>-IPMT('Assumption Sheet'!$C$15/12,1,'Assumption Sheet'!$C$17,'Capital Deployment &amp; Debt Repay'!F$19)*3</f>
        <v>0</v>
      </c>
      <c r="H24" s="7">
        <f>SUM(C24:F24)</f>
        <v>0</v>
      </c>
      <c r="J24" s="7">
        <f>-IPMT('Assumption Sheet'!$C$15/12,1,'Assumption Sheet'!$C$17,'Capital Deployment &amp; Debt Repay'!J$19)*3</f>
        <v>18151.140271699453</v>
      </c>
      <c r="K24" s="7">
        <f>-IPMT('Assumption Sheet'!$C$15/12,1,'Assumption Sheet'!$C$17,'Capital Deployment &amp; Debt Repay'!K$19)*3</f>
        <v>36004.633093641307</v>
      </c>
      <c r="L24" s="7">
        <f>-IPMT('Assumption Sheet'!$C$15/12,1,'Assumption Sheet'!$C$17,'Capital Deployment &amp; Debt Repay'!L$19)*3</f>
        <v>53565.359371543964</v>
      </c>
      <c r="M24" s="7">
        <f>-IPMT('Assumption Sheet'!$C$15/12,1,'Assumption Sheet'!$C$17,'Capital Deployment &amp; Debt Repay'!M$19)*3</f>
        <v>88989.260244374862</v>
      </c>
      <c r="O24" s="7">
        <f>SUM(J24:M24)</f>
        <v>196710.39298125959</v>
      </c>
      <c r="Q24" s="7">
        <f>-IPMT('Assumption Sheet'!$C$15/12,1,'Assumption Sheet'!$C$17,'Capital Deployment &amp; Debt Repay'!Q$19)*3</f>
        <v>122017.15610481749</v>
      </c>
      <c r="R24" s="7">
        <f>-IPMT('Assumption Sheet'!$C$15/12,1,'Assumption Sheet'!$C$17,'Capital Deployment &amp; Debt Repay'!R$19)*3</f>
        <v>154503.45133705891</v>
      </c>
      <c r="S24" s="7">
        <f>-IPMT('Assumption Sheet'!$C$15/12,1,'Assumption Sheet'!$C$17,'Capital Deployment &amp; Debt Repay'!S$19)*3</f>
        <v>203700.61051704595</v>
      </c>
      <c r="T24" s="7">
        <f>-IPMT('Assumption Sheet'!$C$15/12,1,'Assumption Sheet'!$C$17,'Capital Deployment &amp; Debt Repay'!T$19)*3</f>
        <v>252091.0209889051</v>
      </c>
      <c r="V24" s="7">
        <f>SUM(Q24:T24)</f>
        <v>732312.23894782749</v>
      </c>
      <c r="X24" s="7">
        <f>-IPMT('Assumption Sheet'!$C$15/12,1,'Assumption Sheet'!$C$17,'Capital Deployment &amp; Debt Repay'!X$19)*3</f>
        <v>297101.37455375859</v>
      </c>
      <c r="Y24" s="7">
        <f>-IPMT('Assumption Sheet'!$C$15/12,1,'Assumption Sheet'!$C$17,'Capital Deployment &amp; Debt Repay'!Y$19)*3</f>
        <v>357755.03990938544</v>
      </c>
      <c r="Z24" s="7">
        <f>-IPMT('Assumption Sheet'!$C$15/12,1,'Assumption Sheet'!$C$17,'Capital Deployment &amp; Debt Repay'!Z$19)*3</f>
        <v>417414.08958019508</v>
      </c>
      <c r="AA24" s="7">
        <f>-IPMT('Assumption Sheet'!$C$15/12,1,'Assumption Sheet'!$C$17,'Capital Deployment &amp; Debt Repay'!AA$19)*3</f>
        <v>492476.23764620372</v>
      </c>
      <c r="AC24" s="7">
        <f>SUM(X24:AA24)</f>
        <v>1564746.7416895428</v>
      </c>
      <c r="AE24" s="7">
        <f>-IPMT('Assumption Sheet'!$C$15/12,1,'Assumption Sheet'!$C$17,'Capital Deployment &amp; Debt Repay'!AE$19)*3</f>
        <v>562212.14469413203</v>
      </c>
      <c r="AF24" s="7">
        <f>-IPMT('Assumption Sheet'!$C$15/12,1,'Assumption Sheet'!$C$17,'Capital Deployment &amp; Debt Repay'!AF$19)*3</f>
        <v>630804.50293032499</v>
      </c>
      <c r="AG24" s="7">
        <f>-IPMT('Assumption Sheet'!$C$15/12,1,'Assumption Sheet'!$C$17,'Capital Deployment &amp; Debt Repay'!AG$19)*3</f>
        <v>698272.06458645407</v>
      </c>
      <c r="AH24" s="7">
        <f>-IPMT('Assumption Sheet'!$C$15/12,1,'Assumption Sheet'!$C$17,'Capital Deployment &amp; Debt Repay'!AH$19)*3</f>
        <v>764633.27438987792</v>
      </c>
      <c r="AJ24" s="7">
        <f>SUM(AE24:AH24)</f>
        <v>2655921.9866007892</v>
      </c>
    </row>
    <row r="25" spans="2:38" hidden="1" outlineLevel="1" x14ac:dyDescent="0.2">
      <c r="B25" s="5" t="s">
        <v>95</v>
      </c>
      <c r="E25" s="7">
        <f>-PPMT('Assumption Sheet'!$C$15/12,1,'Assumption Sheet'!$C$17,'Capital Deployment &amp; Debt Repay'!E16+'Capital Deployment &amp; Debt Repay'!E17)*3</f>
        <v>0</v>
      </c>
      <c r="F25" s="7">
        <f>-PPMT('Assumption Sheet'!$C$15/12,1,'Assumption Sheet'!$C$17,'Capital Deployment &amp; Debt Repay'!F16+'Capital Deployment &amp; Debt Repay'!F17)*3</f>
        <v>0</v>
      </c>
      <c r="H25" s="7">
        <f>SUM(C25:F25)</f>
        <v>0</v>
      </c>
      <c r="J25" s="7">
        <f>-PPMT('Assumption Sheet'!$C$15/12,1,'Assumption Sheet'!$C$17,'Capital Deployment &amp; Debt Repay'!J16+'Capital Deployment &amp; Debt Repay'!J17)*3</f>
        <v>15130.486415027515</v>
      </c>
      <c r="K25" s="7">
        <f>-PPMT('Assumption Sheet'!$C$15/12,1,'Assumption Sheet'!$C$17,'Capital Deployment &amp; Debt Repay'!K16+'Capital Deployment &amp; Debt Repay'!K17)*3</f>
        <v>30012.858902907072</v>
      </c>
      <c r="L25" s="7">
        <f>-PPMT('Assumption Sheet'!$C$15/12,1,'Assumption Sheet'!$C$17,'Capital Deployment &amp; Debt Repay'!L16+'Capital Deployment &amp; Debt Repay'!L17)*3</f>
        <v>44651.186104867797</v>
      </c>
      <c r="M25" s="7">
        <f>-PPMT('Assumption Sheet'!$C$15/12,1,'Assumption Sheet'!$C$17,'Capital Deployment &amp; Debt Repay'!M16+'Capital Deployment &amp; Debt Repay'!M17)*3</f>
        <v>74179.956358455092</v>
      </c>
      <c r="O25" s="7">
        <f>SUM(J25:M25)</f>
        <v>163974.48778125749</v>
      </c>
      <c r="Q25" s="7">
        <f>-PPMT('Assumption Sheet'!$C$15/12,1,'Assumption Sheet'!$C$17,'Capital Deployment &amp; Debt Repay'!Q16+'Capital Deployment &amp; Debt Repay'!Q17)*3</f>
        <v>101711.45697786947</v>
      </c>
      <c r="R25" s="7">
        <f>-PPMT('Assumption Sheet'!$C$15/12,1,'Assumption Sheet'!$C$17,'Capital Deployment &amp; Debt Repay'!R16+'Capital Deployment &amp; Debt Repay'!R17)*3</f>
        <v>128791.48838792817</v>
      </c>
      <c r="S25" s="7">
        <f>-PPMT('Assumption Sheet'!$C$15/12,1,'Assumption Sheet'!$C$17,'Capital Deployment &amp; Debt Repay'!S16+'Capital Deployment &amp; Debt Repay'!S17)*3</f>
        <v>169801.41600064919</v>
      </c>
      <c r="T25" s="7">
        <f>-PPMT('Assumption Sheet'!$C$15/12,1,'Assumption Sheet'!$C$17,'Capital Deployment &amp; Debt Repay'!T16+'Capital Deployment &amp; Debt Repay'!T17)*3</f>
        <v>210138.851407043</v>
      </c>
      <c r="V25" s="7">
        <f>SUM(Q25:T25)</f>
        <v>610443.21277348977</v>
      </c>
      <c r="X25" s="7">
        <f>-PPMT('Assumption Sheet'!$C$15/12,1,'Assumption Sheet'!$C$17,'Capital Deployment &amp; Debt Repay'!X16+'Capital Deployment &amp; Debt Repay'!X17)*3</f>
        <v>247658.72800732654</v>
      </c>
      <c r="Y25" s="7">
        <f>-PPMT('Assumption Sheet'!$C$15/12,1,'Assumption Sheet'!$C$17,'Capital Deployment &amp; Debt Repay'!Y16+'Capital Deployment &amp; Debt Repay'!Y17)*3</f>
        <v>298218.60721865145</v>
      </c>
      <c r="Z25" s="7">
        <f>-PPMT('Assumption Sheet'!$C$15/12,1,'Assumption Sheet'!$C$17,'Capital Deployment &amp; Debt Repay'!Z16+'Capital Deployment &amp; Debt Repay'!Z17)*3</f>
        <v>347949.39145952044</v>
      </c>
      <c r="AA25" s="7">
        <f>-PPMT('Assumption Sheet'!$C$15/12,1,'Assumption Sheet'!$C$17,'Capital Deployment &amp; Debt Repay'!AA16+'Capital Deployment &amp; Debt Repay'!AA17)*3</f>
        <v>410519.94044956437</v>
      </c>
      <c r="AC25" s="7">
        <f>SUM(X25:AA25)</f>
        <v>1304346.6671350626</v>
      </c>
      <c r="AE25" s="7">
        <f>-PPMT('Assumption Sheet'!$C$15/12,1,'Assumption Sheet'!$C$17,'Capital Deployment &amp; Debt Repay'!AE16+'Capital Deployment &amp; Debt Repay'!AE17)*3</f>
        <v>468650.62416608183</v>
      </c>
      <c r="AF25" s="7">
        <f>-PPMT('Assumption Sheet'!$C$15/12,1,'Assumption Sheet'!$C$17,'Capital Deployment &amp; Debt Repay'!AF16+'Capital Deployment &amp; Debt Repay'!AF17)*3</f>
        <v>525828.06475286232</v>
      </c>
      <c r="AG25" s="7">
        <f>-PPMT('Assumption Sheet'!$C$15/12,1,'Assumption Sheet'!$C$17,'Capital Deployment &amp; Debt Repay'!AG16+'Capital Deployment &amp; Debt Repay'!AG17)*3</f>
        <v>582067.89375604142</v>
      </c>
      <c r="AH25" s="7">
        <f>-PPMT('Assumption Sheet'!$C$15/12,1,'Assumption Sheet'!$C$17,'Capital Deployment &amp; Debt Repay'!AH16+'Capital Deployment &amp; Debt Repay'!AH17)*3</f>
        <v>637385.48639131035</v>
      </c>
      <c r="AJ25" s="7">
        <f>SUM(AE25:AH25)</f>
        <v>2213932.0690662963</v>
      </c>
    </row>
    <row r="26" spans="2:38" collapsed="1" x14ac:dyDescent="0.2"/>
    <row r="27" spans="2:38" x14ac:dyDescent="0.2">
      <c r="B27" s="37"/>
      <c r="C27" s="37"/>
      <c r="D27" s="37"/>
      <c r="E27" s="37"/>
      <c r="F27" s="37"/>
      <c r="G27" s="37"/>
      <c r="H27" s="37"/>
    </row>
    <row r="28" spans="2:38" x14ac:dyDescent="0.2">
      <c r="E28" s="7"/>
      <c r="F28" s="7"/>
      <c r="G28" s="7"/>
      <c r="H28" s="7"/>
    </row>
    <row r="29" spans="2:38" x14ac:dyDescent="0.2">
      <c r="E29" s="7"/>
      <c r="F29" s="7"/>
      <c r="G29" s="7"/>
      <c r="H29" s="7"/>
    </row>
    <row r="30" spans="2:38" x14ac:dyDescent="0.2">
      <c r="E30" s="7"/>
      <c r="F30" s="7"/>
      <c r="G30" s="7"/>
      <c r="H30" s="7"/>
    </row>
    <row r="31" spans="2:38" x14ac:dyDescent="0.2">
      <c r="E31" s="7"/>
      <c r="F31" s="7"/>
      <c r="G31" s="7"/>
    </row>
    <row r="32" spans="2:38" x14ac:dyDescent="0.2">
      <c r="E32" s="7"/>
      <c r="F32" s="7"/>
      <c r="G32" s="7"/>
    </row>
    <row r="33" spans="3:7" x14ac:dyDescent="0.2">
      <c r="E33" s="7"/>
      <c r="F33" s="7"/>
      <c r="G33" s="7"/>
    </row>
    <row r="34" spans="3:7" x14ac:dyDescent="0.2">
      <c r="E34" s="7"/>
      <c r="F34" s="7"/>
      <c r="G34" s="7"/>
    </row>
    <row r="35" spans="3:7" x14ac:dyDescent="0.2">
      <c r="E35" s="7"/>
      <c r="F35" s="7"/>
      <c r="G35" s="7"/>
    </row>
    <row r="36" spans="3:7" x14ac:dyDescent="0.2">
      <c r="E36" s="7"/>
      <c r="F36" s="7"/>
      <c r="G36" s="7"/>
    </row>
    <row r="37" spans="3:7" x14ac:dyDescent="0.2">
      <c r="E37" s="7"/>
      <c r="F37" s="7"/>
      <c r="G37" s="7"/>
    </row>
    <row r="38" spans="3:7" x14ac:dyDescent="0.2">
      <c r="E38" s="7"/>
      <c r="F38" s="7"/>
      <c r="G38" s="7"/>
    </row>
    <row r="39" spans="3:7" x14ac:dyDescent="0.2">
      <c r="E39" s="7"/>
      <c r="F39" s="7"/>
      <c r="G39" s="7"/>
    </row>
    <row r="40" spans="3:7" x14ac:dyDescent="0.2">
      <c r="E40" s="7"/>
      <c r="F40" s="7"/>
      <c r="G40" s="7"/>
    </row>
    <row r="41" spans="3:7" x14ac:dyDescent="0.2">
      <c r="E41" s="7"/>
      <c r="F41" s="7"/>
      <c r="G41" s="7"/>
    </row>
    <row r="42" spans="3:7" x14ac:dyDescent="0.2">
      <c r="E42" s="7"/>
      <c r="F42" s="7"/>
      <c r="G42" s="7"/>
    </row>
    <row r="43" spans="3:7" x14ac:dyDescent="0.2">
      <c r="E43" s="7"/>
      <c r="F43" s="7"/>
      <c r="G43" s="7"/>
    </row>
    <row r="44" spans="3:7" x14ac:dyDescent="0.2">
      <c r="E44" s="7"/>
      <c r="F44" s="7"/>
      <c r="G44" s="7"/>
    </row>
    <row r="45" spans="3:7" x14ac:dyDescent="0.2">
      <c r="E45" s="7"/>
      <c r="F45" s="7"/>
      <c r="G45" s="7"/>
    </row>
    <row r="46" spans="3:7" x14ac:dyDescent="0.2">
      <c r="E46" s="7"/>
      <c r="F46" s="7"/>
      <c r="G46" s="7"/>
    </row>
    <row r="48" spans="3:7" x14ac:dyDescent="0.2">
      <c r="C48" s="8"/>
      <c r="D48" s="8"/>
      <c r="E48" s="8"/>
      <c r="F48" s="9"/>
      <c r="G48" s="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B5EB9-DB90-4128-BC24-C888F0AD7520}">
  <sheetPr>
    <tabColor rgb="FF00B050"/>
  </sheetPr>
  <dimension ref="B1:L29"/>
  <sheetViews>
    <sheetView showGridLines="0" zoomScale="85" zoomScaleNormal="85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L19" sqref="L19"/>
    </sheetView>
  </sheetViews>
  <sheetFormatPr baseColWidth="10" defaultColWidth="8.6640625" defaultRowHeight="15" x14ac:dyDescent="0.2"/>
  <cols>
    <col min="1" max="1" width="8.6640625" style="5"/>
    <col min="2" max="2" width="40.83203125" style="5" bestFit="1" customWidth="1"/>
    <col min="3" max="3" width="12.83203125" style="5" bestFit="1" customWidth="1"/>
    <col min="4" max="5" width="11.1640625" style="5" bestFit="1" customWidth="1"/>
    <col min="6" max="6" width="12.1640625" style="5" bestFit="1" customWidth="1"/>
    <col min="7" max="7" width="12.83203125" style="5" bestFit="1" customWidth="1"/>
    <col min="8" max="10" width="8.6640625" style="5"/>
    <col min="11" max="11" width="20.83203125" style="5" bestFit="1" customWidth="1"/>
    <col min="12" max="12" width="10.33203125" style="5" customWidth="1"/>
    <col min="13" max="16384" width="8.6640625" style="5"/>
  </cols>
  <sheetData>
    <row r="1" spans="2:12" ht="20" x14ac:dyDescent="0.25">
      <c r="B1" s="34" t="s">
        <v>161</v>
      </c>
    </row>
    <row r="2" spans="2:12" x14ac:dyDescent="0.2">
      <c r="B2" s="8" t="str">
        <f>'Assumption Sheet'!B2</f>
        <v>Updated on 01 Feb 2026</v>
      </c>
    </row>
    <row r="7" spans="2:12" ht="16" x14ac:dyDescent="0.2">
      <c r="B7" s="20" t="s">
        <v>0</v>
      </c>
      <c r="C7" s="4" t="str">
        <f>'Capital Deployment &amp; Debt Repay'!H6</f>
        <v>FY26-27</v>
      </c>
      <c r="D7" s="4" t="str">
        <f>'Capital Deployment &amp; Debt Repay'!O6</f>
        <v>FY27-28</v>
      </c>
      <c r="E7" s="4" t="str">
        <f>'Capital Deployment &amp; Debt Repay'!V6</f>
        <v>FY28-29</v>
      </c>
      <c r="F7" s="4" t="str">
        <f>'Capital Deployment &amp; Debt Repay'!AC6</f>
        <v>FY29-30</v>
      </c>
      <c r="G7" s="4" t="str">
        <f>'Capital Deployment &amp; Debt Repay'!AJ6</f>
        <v>FY30-31</v>
      </c>
      <c r="K7" s="108" t="s">
        <v>176</v>
      </c>
      <c r="L7" s="109"/>
    </row>
    <row r="8" spans="2:12" ht="16" x14ac:dyDescent="0.2">
      <c r="B8" s="5" t="s">
        <v>64</v>
      </c>
      <c r="C8" s="7">
        <f>'Income Statement'!H30</f>
        <v>42000</v>
      </c>
      <c r="D8" s="7">
        <f>'Income Statement'!O30</f>
        <v>3492387.5</v>
      </c>
      <c r="E8" s="7">
        <f>'Income Statement'!V30</f>
        <v>11152925.875</v>
      </c>
      <c r="F8" s="7">
        <f>'Income Statement'!AC30</f>
        <v>25244843.049999997</v>
      </c>
      <c r="G8" s="7">
        <f>'Income Statement'!AJ30</f>
        <v>37342907.301874995</v>
      </c>
      <c r="K8" s="98" t="s">
        <v>177</v>
      </c>
      <c r="L8" s="99">
        <v>0.1</v>
      </c>
    </row>
    <row r="9" spans="2:12" ht="16" x14ac:dyDescent="0.2">
      <c r="B9" s="5" t="s">
        <v>96</v>
      </c>
      <c r="C9" s="7">
        <f>'Income Statement'!H37</f>
        <v>0</v>
      </c>
      <c r="D9" s="7">
        <f>'Income Statement'!O37</f>
        <v>0</v>
      </c>
      <c r="E9" s="7">
        <f>'Income Statement'!V37</f>
        <v>0</v>
      </c>
      <c r="F9" s="7">
        <f>'Income Statement'!AC37</f>
        <v>0</v>
      </c>
      <c r="G9" s="7">
        <f>'Income Statement'!AJ37</f>
        <v>0</v>
      </c>
      <c r="K9" s="100" t="s">
        <v>178</v>
      </c>
      <c r="L9" s="101">
        <v>0.03</v>
      </c>
    </row>
    <row r="10" spans="2:12" x14ac:dyDescent="0.2">
      <c r="B10" s="5" t="s">
        <v>162</v>
      </c>
      <c r="C10" s="7">
        <f>'Income Statement'!H33</f>
        <v>0</v>
      </c>
      <c r="D10" s="7">
        <f>'Income Statement'!O33</f>
        <v>330725.32021484373</v>
      </c>
      <c r="E10" s="7">
        <f>'Income Statement'!V33</f>
        <v>1217453.094550058</v>
      </c>
      <c r="F10" s="7">
        <f>'Income Statement'!AC33</f>
        <v>2572677.737151213</v>
      </c>
      <c r="G10" s="7">
        <f>'Income Statement'!AJ33</f>
        <v>4318083.4853009749</v>
      </c>
    </row>
    <row r="11" spans="2:12" x14ac:dyDescent="0.2">
      <c r="B11" s="5" t="s">
        <v>97</v>
      </c>
      <c r="C11" s="7">
        <f>'Income Statement'!H42</f>
        <v>10500</v>
      </c>
      <c r="D11" s="7">
        <f>'Income Statement'!O42</f>
        <v>741237.94670097413</v>
      </c>
      <c r="E11" s="7">
        <f>'Income Statement'!V42</f>
        <v>2300790.1353755286</v>
      </c>
      <c r="F11" s="7">
        <f>'Income Statement'!AC42</f>
        <v>5276854.6427898109</v>
      </c>
      <c r="G11" s="7">
        <f>'Income Statement'!AJ42</f>
        <v>7592225.4574933089</v>
      </c>
    </row>
    <row r="12" spans="2:12" x14ac:dyDescent="0.2">
      <c r="B12" s="23" t="s">
        <v>163</v>
      </c>
      <c r="C12" s="24">
        <f>C8+C9-C10-C11</f>
        <v>31500</v>
      </c>
      <c r="D12" s="24">
        <f t="shared" ref="D12:G12" si="0">D8+D9-D10-D11</f>
        <v>2420424.2330841823</v>
      </c>
      <c r="E12" s="24">
        <f t="shared" si="0"/>
        <v>7634682.6450744132</v>
      </c>
      <c r="F12" s="24">
        <f t="shared" si="0"/>
        <v>17395310.670058973</v>
      </c>
      <c r="G12" s="25">
        <f t="shared" si="0"/>
        <v>25432598.359080713</v>
      </c>
    </row>
    <row r="14" spans="2:12" x14ac:dyDescent="0.2">
      <c r="B14" s="5" t="s">
        <v>164</v>
      </c>
      <c r="C14" s="7">
        <f>C10</f>
        <v>0</v>
      </c>
      <c r="D14" s="7">
        <f t="shared" ref="D14:G14" si="1">D10</f>
        <v>330725.32021484373</v>
      </c>
      <c r="E14" s="7">
        <f t="shared" si="1"/>
        <v>1217453.094550058</v>
      </c>
      <c r="F14" s="7">
        <f t="shared" si="1"/>
        <v>2572677.737151213</v>
      </c>
      <c r="G14" s="7">
        <f t="shared" si="1"/>
        <v>4318083.4853009749</v>
      </c>
    </row>
    <row r="15" spans="2:12" x14ac:dyDescent="0.2">
      <c r="B15" s="5" t="s">
        <v>165</v>
      </c>
      <c r="C15" s="7">
        <f>'Working Capital Assumptions'!H25</f>
        <v>168369.4444444445</v>
      </c>
      <c r="D15" s="7">
        <f>'Working Capital Assumptions'!O25</f>
        <v>557365.29646148207</v>
      </c>
      <c r="E15" s="7">
        <f>'Working Capital Assumptions'!V25</f>
        <v>392045.04056993593</v>
      </c>
      <c r="F15" s="7">
        <f>'Working Capital Assumptions'!AC25</f>
        <v>1299844.3993188571</v>
      </c>
      <c r="G15" s="7">
        <f>'Working Capital Assumptions'!AJ25</f>
        <v>622213.62348355446</v>
      </c>
    </row>
    <row r="16" spans="2:12" ht="16" thickBot="1" x14ac:dyDescent="0.25">
      <c r="B16" s="5" t="s">
        <v>166</v>
      </c>
      <c r="C16" s="7">
        <f>-SUM('Cashflow Statement'!H22:H24)</f>
        <v>200000</v>
      </c>
      <c r="D16" s="7">
        <f>-SUM('Cashflow Statement'!O22:O24)</f>
        <v>7471250</v>
      </c>
      <c r="E16" s="7">
        <f>-SUM('Cashflow Statement'!V22:V24)</f>
        <v>11687375</v>
      </c>
      <c r="F16" s="7">
        <f>-SUM('Cashflow Statement'!AC22:AC24)</f>
        <v>17764810</v>
      </c>
      <c r="G16" s="7">
        <f>-SUM('Cashflow Statement'!AJ22:AJ24)</f>
        <v>21095711.875</v>
      </c>
    </row>
    <row r="17" spans="2:7" ht="16" thickBot="1" x14ac:dyDescent="0.25">
      <c r="B17" s="10" t="s">
        <v>167</v>
      </c>
      <c r="C17" s="11">
        <f>C12+C14-C15-C16</f>
        <v>-336869.4444444445</v>
      </c>
      <c r="D17" s="11">
        <f t="shared" ref="D17:G17" si="2">D12+D14-D15-D16</f>
        <v>-5277465.743162456</v>
      </c>
      <c r="E17" s="11">
        <f t="shared" si="2"/>
        <v>-3227284.3009454645</v>
      </c>
      <c r="F17" s="11">
        <f t="shared" si="2"/>
        <v>903334.00789132714</v>
      </c>
      <c r="G17" s="12">
        <f t="shared" si="2"/>
        <v>8032756.3458981365</v>
      </c>
    </row>
    <row r="19" spans="2:7" x14ac:dyDescent="0.2">
      <c r="B19" s="5" t="s">
        <v>168</v>
      </c>
      <c r="C19" s="5">
        <v>1</v>
      </c>
      <c r="D19" s="5">
        <v>2</v>
      </c>
      <c r="E19" s="5">
        <v>3</v>
      </c>
      <c r="F19" s="5">
        <v>4</v>
      </c>
      <c r="G19" s="5">
        <v>5</v>
      </c>
    </row>
    <row r="20" spans="2:7" x14ac:dyDescent="0.2">
      <c r="B20" s="5" t="s">
        <v>169</v>
      </c>
      <c r="C20" s="22">
        <f>C17/(1+$L$8)^C19</f>
        <v>-306244.94949494954</v>
      </c>
      <c r="D20" s="22">
        <f t="shared" ref="D20:G20" si="3">D17/(1+$L$8)^D19</f>
        <v>-4361541.9364978969</v>
      </c>
      <c r="E20" s="22">
        <f t="shared" si="3"/>
        <v>-2424706.4620176284</v>
      </c>
      <c r="F20" s="22">
        <f t="shared" si="3"/>
        <v>616989.2820786332</v>
      </c>
      <c r="G20" s="22">
        <f t="shared" si="3"/>
        <v>4987709.6981068943</v>
      </c>
    </row>
    <row r="21" spans="2:7" x14ac:dyDescent="0.2">
      <c r="B21" s="5" t="s">
        <v>170</v>
      </c>
      <c r="G21" s="22">
        <f>G17/(1+$G$19)/($L$8-$L$9)</f>
        <v>19125610.347376514</v>
      </c>
    </row>
    <row r="22" spans="2:7" x14ac:dyDescent="0.2">
      <c r="B22" s="5" t="s">
        <v>171</v>
      </c>
      <c r="G22" s="22">
        <f>G21/(1+$L$8)^G19</f>
        <v>11875499.281206889</v>
      </c>
    </row>
    <row r="23" spans="2:7" x14ac:dyDescent="0.2">
      <c r="B23" s="23" t="s">
        <v>30</v>
      </c>
      <c r="C23" s="102">
        <f>C20+C22</f>
        <v>-306244.94949494954</v>
      </c>
      <c r="D23" s="102">
        <f t="shared" ref="D23:G23" si="4">D20+D22</f>
        <v>-4361541.9364978969</v>
      </c>
      <c r="E23" s="102">
        <f>E20+E22</f>
        <v>-2424706.4620176284</v>
      </c>
      <c r="F23" s="102">
        <f t="shared" si="4"/>
        <v>616989.2820786332</v>
      </c>
      <c r="G23" s="103">
        <f t="shared" si="4"/>
        <v>16863208.979313783</v>
      </c>
    </row>
    <row r="25" spans="2:7" x14ac:dyDescent="0.2">
      <c r="B25" s="8" t="s">
        <v>172</v>
      </c>
      <c r="C25" s="104">
        <f>SUM(C23:G23)</f>
        <v>10387704.913381942</v>
      </c>
    </row>
    <row r="26" spans="2:7" x14ac:dyDescent="0.2">
      <c r="B26" s="5" t="s">
        <v>173</v>
      </c>
      <c r="C26" s="105">
        <v>0</v>
      </c>
    </row>
    <row r="27" spans="2:7" x14ac:dyDescent="0.2">
      <c r="B27" s="5" t="s">
        <v>174</v>
      </c>
      <c r="C27" s="105">
        <v>0</v>
      </c>
    </row>
    <row r="28" spans="2:7" ht="16" thickBot="1" x14ac:dyDescent="0.25">
      <c r="B28" s="106" t="s">
        <v>175</v>
      </c>
      <c r="C28" s="107">
        <f>C25+C26-C27</f>
        <v>10387704.913381942</v>
      </c>
    </row>
    <row r="29" spans="2:7" ht="16" thickTop="1" x14ac:dyDescent="0.2"/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EEC4B-A7D5-4F64-9779-338AE59E5E3D}">
  <sheetPr>
    <tabColor rgb="FF00B0F0"/>
  </sheetPr>
  <dimension ref="A1"/>
  <sheetViews>
    <sheetView showGridLines="0" topLeftCell="F1" workbookViewId="0">
      <selection activeCell="H9" sqref="H9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54222-C2CF-4A5F-8572-93E6C01DBA6E}">
  <sheetPr>
    <tabColor rgb="FF00B0F0"/>
  </sheetPr>
  <dimension ref="A1:AJ44"/>
  <sheetViews>
    <sheetView showGridLines="0" zoomScale="85" zoomScaleNormal="85" workbookViewId="0">
      <pane xSplit="2" ySplit="6" topLeftCell="C7" activePane="bottomRight" state="frozen"/>
      <selection activeCell="H9" sqref="H9"/>
      <selection pane="topRight" activeCell="H9" sqref="H9"/>
      <selection pane="bottomLeft" activeCell="H9" sqref="H9"/>
      <selection pane="bottomRight" activeCell="H17" sqref="H17"/>
    </sheetView>
  </sheetViews>
  <sheetFormatPr baseColWidth="10" defaultColWidth="3.1640625" defaultRowHeight="15" x14ac:dyDescent="0.2"/>
  <cols>
    <col min="2" max="2" width="40.1640625" style="5" bestFit="1" customWidth="1"/>
    <col min="3" max="6" width="10.83203125" style="5" bestFit="1" customWidth="1"/>
    <col min="7" max="7" width="3.1640625" style="5"/>
    <col min="8" max="8" width="10.5" style="5" bestFit="1" customWidth="1"/>
    <col min="9" max="9" width="3.1640625" style="5"/>
    <col min="10" max="13" width="10.83203125" style="5" bestFit="1" customWidth="1"/>
    <col min="14" max="14" width="3.1640625" style="5"/>
    <col min="15" max="15" width="10.5" style="5" bestFit="1" customWidth="1"/>
    <col min="16" max="16" width="3.1640625" style="5"/>
    <col min="17" max="20" width="10.83203125" style="5" bestFit="1" customWidth="1"/>
    <col min="21" max="21" width="3.1640625" style="5"/>
    <col min="22" max="22" width="11.5" style="5" bestFit="1" customWidth="1"/>
    <col min="23" max="23" width="3.1640625" style="5"/>
    <col min="24" max="27" width="10.83203125" style="5" bestFit="1" customWidth="1"/>
    <col min="28" max="28" width="3.1640625" style="5"/>
    <col min="29" max="29" width="11.5" style="5" bestFit="1" customWidth="1"/>
    <col min="30" max="30" width="3.1640625" style="5"/>
    <col min="31" max="34" width="11.5" style="5" bestFit="1" customWidth="1"/>
    <col min="35" max="35" width="3.1640625" style="5"/>
    <col min="36" max="36" width="11.5" style="5" bestFit="1" customWidth="1"/>
    <col min="37" max="48" width="3.1640625" style="5"/>
    <col min="49" max="49" width="3.1640625" style="5" customWidth="1"/>
    <col min="50" max="16384" width="3.1640625" style="5"/>
  </cols>
  <sheetData>
    <row r="1" spans="2:36" ht="20" x14ac:dyDescent="0.25">
      <c r="B1" s="34" t="s">
        <v>161</v>
      </c>
    </row>
    <row r="2" spans="2:36" x14ac:dyDescent="0.2">
      <c r="B2" s="8" t="str">
        <f>'Assumption Sheet'!B2</f>
        <v>Updated on 01 Feb 2026</v>
      </c>
    </row>
    <row r="6" spans="2:36" x14ac:dyDescent="0.2">
      <c r="B6" s="20" t="s">
        <v>0</v>
      </c>
      <c r="C6" s="4" t="str">
        <f>'P&amp;L Assumption Sheet'!C6</f>
        <v>FY26-27 Q1</v>
      </c>
      <c r="D6" s="4" t="str">
        <f>'P&amp;L Assumption Sheet'!D6</f>
        <v>FY26-27 Q2</v>
      </c>
      <c r="E6" s="4" t="str">
        <f>'P&amp;L Assumption Sheet'!E6</f>
        <v>FY26-27 Q3</v>
      </c>
      <c r="F6" s="4" t="str">
        <f>'P&amp;L Assumption Sheet'!F6</f>
        <v>FY26-27 Q4</v>
      </c>
      <c r="G6" s="1"/>
      <c r="H6" s="2" t="str">
        <f>'P&amp;L Assumption Sheet'!H6</f>
        <v>FY26-27</v>
      </c>
      <c r="I6" s="1"/>
      <c r="J6" s="4" t="str">
        <f>'P&amp;L Assumption Sheet'!J6</f>
        <v>FY27-28 Q1</v>
      </c>
      <c r="K6" s="4" t="str">
        <f>'P&amp;L Assumption Sheet'!K6</f>
        <v>FY27-28 Q2</v>
      </c>
      <c r="L6" s="4" t="str">
        <f>'P&amp;L Assumption Sheet'!L6</f>
        <v>FY27-28 Q3</v>
      </c>
      <c r="M6" s="4" t="str">
        <f>'P&amp;L Assumption Sheet'!M6</f>
        <v>FY27-28 Q4</v>
      </c>
      <c r="N6" s="1"/>
      <c r="O6" s="2" t="str">
        <f>'P&amp;L Assumption Sheet'!O6</f>
        <v>FY27-28</v>
      </c>
      <c r="P6" s="1"/>
      <c r="Q6" s="4" t="str">
        <f>'P&amp;L Assumption Sheet'!Q6</f>
        <v>FY28-29 Q1</v>
      </c>
      <c r="R6" s="4" t="str">
        <f>'P&amp;L Assumption Sheet'!R6</f>
        <v>FY28-29 Q2</v>
      </c>
      <c r="S6" s="4" t="str">
        <f>'P&amp;L Assumption Sheet'!S6</f>
        <v>FY28-29 Q3</v>
      </c>
      <c r="T6" s="4" t="str">
        <f>'P&amp;L Assumption Sheet'!T6</f>
        <v>FY28-29 Q4</v>
      </c>
      <c r="U6" s="1"/>
      <c r="V6" s="2" t="str">
        <f>'P&amp;L Assumption Sheet'!V6</f>
        <v>FY28-29</v>
      </c>
      <c r="W6" s="1"/>
      <c r="X6" s="4" t="str">
        <f>'P&amp;L Assumption Sheet'!X6</f>
        <v>FY29-30 Q1</v>
      </c>
      <c r="Y6" s="4" t="str">
        <f>'P&amp;L Assumption Sheet'!Y6</f>
        <v>FY29-30 Q2</v>
      </c>
      <c r="Z6" s="4" t="str">
        <f>'P&amp;L Assumption Sheet'!Z6</f>
        <v>FY29-30 Q3</v>
      </c>
      <c r="AA6" s="4" t="str">
        <f>'P&amp;L Assumption Sheet'!AA6</f>
        <v>FY29-30 Q4</v>
      </c>
      <c r="AB6" s="3"/>
      <c r="AC6" s="2" t="str">
        <f>'P&amp;L Assumption Sheet'!AC6</f>
        <v>FY29-30</v>
      </c>
      <c r="AD6" s="1"/>
      <c r="AE6" s="4" t="str">
        <f>'P&amp;L Assumption Sheet'!AE6</f>
        <v>FY30-31 Q1</v>
      </c>
      <c r="AF6" s="4" t="str">
        <f>'P&amp;L Assumption Sheet'!AF6</f>
        <v>FY30-31 Q2</v>
      </c>
      <c r="AG6" s="4" t="str">
        <f>'P&amp;L Assumption Sheet'!AG6</f>
        <v>FY30-31 Q3</v>
      </c>
      <c r="AH6" s="4" t="str">
        <f>'P&amp;L Assumption Sheet'!AH6</f>
        <v>FY30-31 Q4</v>
      </c>
      <c r="AI6" s="1"/>
      <c r="AJ6" s="2" t="s">
        <v>11</v>
      </c>
    </row>
    <row r="7" spans="2:36" x14ac:dyDescent="0.2">
      <c r="B7" s="5" t="s">
        <v>88</v>
      </c>
      <c r="C7" s="7">
        <f>'P&amp;L Assumption Sheet'!C20</f>
        <v>0</v>
      </c>
      <c r="D7" s="7">
        <f>'P&amp;L Assumption Sheet'!D20</f>
        <v>0</v>
      </c>
      <c r="E7" s="7">
        <f>'P&amp;L Assumption Sheet'!E20</f>
        <v>0</v>
      </c>
      <c r="F7" s="7">
        <f>'P&amp;L Assumption Sheet'!F20</f>
        <v>0</v>
      </c>
      <c r="H7" s="7">
        <f>SUM(C7:F7)</f>
        <v>0</v>
      </c>
      <c r="J7" s="7">
        <f>'P&amp;L Assumption Sheet'!J20</f>
        <v>105000</v>
      </c>
      <c r="K7" s="7">
        <f>'P&amp;L Assumption Sheet'!K20</f>
        <v>210000</v>
      </c>
      <c r="L7" s="7">
        <f>'P&amp;L Assumption Sheet'!L20</f>
        <v>315000</v>
      </c>
      <c r="M7" s="7">
        <f>'P&amp;L Assumption Sheet'!M20</f>
        <v>525000</v>
      </c>
      <c r="O7" s="7">
        <f>SUM(J7:M7)</f>
        <v>1155000</v>
      </c>
      <c r="Q7" s="7">
        <f>'P&amp;L Assumption Sheet'!Q20</f>
        <v>771750</v>
      </c>
      <c r="R7" s="7">
        <f>'P&amp;L Assumption Sheet'!R20</f>
        <v>992250</v>
      </c>
      <c r="S7" s="7">
        <f>'P&amp;L Assumption Sheet'!S20</f>
        <v>1323000</v>
      </c>
      <c r="T7" s="7">
        <f>'P&amp;L Assumption Sheet'!T20</f>
        <v>1653750</v>
      </c>
      <c r="V7" s="7">
        <f>SUM(Q7:T7)</f>
        <v>4740750</v>
      </c>
      <c r="X7" s="7">
        <f>'P&amp;L Assumption Sheet'!X20</f>
        <v>2083725</v>
      </c>
      <c r="Y7" s="7">
        <f>'P&amp;L Assumption Sheet'!Y20</f>
        <v>2546775</v>
      </c>
      <c r="Z7" s="7">
        <f>'P&amp;L Assumption Sheet'!Z20</f>
        <v>3009825</v>
      </c>
      <c r="AA7" s="7">
        <f>'P&amp;L Assumption Sheet'!AA20</f>
        <v>3588637.5</v>
      </c>
      <c r="AC7" s="7">
        <f>SUM(X7:AA7)</f>
        <v>11228962.5</v>
      </c>
      <c r="AE7" s="7">
        <f>'P&amp;L Assumption Sheet'!AE20</f>
        <v>4375822.5</v>
      </c>
      <c r="AF7" s="7">
        <f>'P&amp;L Assumption Sheet'!AF20</f>
        <v>4983575.625</v>
      </c>
      <c r="AG7" s="7">
        <f>'P&amp;L Assumption Sheet'!AG20</f>
        <v>5591328.75</v>
      </c>
      <c r="AH7" s="7">
        <f>'P&amp;L Assumption Sheet'!AH20</f>
        <v>6199081.875</v>
      </c>
      <c r="AJ7" s="7">
        <f>SUM(AE7:AH7)</f>
        <v>21149808.75</v>
      </c>
    </row>
    <row r="8" spans="2:36" x14ac:dyDescent="0.2">
      <c r="B8" s="5" t="s">
        <v>89</v>
      </c>
      <c r="C8" s="7">
        <f>'P&amp;L Assumption Sheet'!C24</f>
        <v>0</v>
      </c>
      <c r="D8" s="7">
        <f>'P&amp;L Assumption Sheet'!D24</f>
        <v>0</v>
      </c>
      <c r="E8" s="7">
        <f>'P&amp;L Assumption Sheet'!E24</f>
        <v>0</v>
      </c>
      <c r="F8" s="7">
        <f>'P&amp;L Assumption Sheet'!F24</f>
        <v>0</v>
      </c>
      <c r="H8" s="7">
        <f>SUM(C8:F8)</f>
        <v>0</v>
      </c>
      <c r="J8" s="7">
        <f>'P&amp;L Assumption Sheet'!J24</f>
        <v>0</v>
      </c>
      <c r="K8" s="7">
        <f>'P&amp;L Assumption Sheet'!K24</f>
        <v>367500</v>
      </c>
      <c r="L8" s="7">
        <f>'P&amp;L Assumption Sheet'!L24</f>
        <v>1102500</v>
      </c>
      <c r="M8" s="7">
        <f>'P&amp;L Assumption Sheet'!M24</f>
        <v>1102500</v>
      </c>
      <c r="O8" s="7">
        <f>SUM(J8:M8)</f>
        <v>2572500</v>
      </c>
      <c r="Q8" s="7">
        <f>'P&amp;L Assumption Sheet'!Q24</f>
        <v>1929375</v>
      </c>
      <c r="R8" s="7">
        <f>'P&amp;L Assumption Sheet'!R24</f>
        <v>1929375</v>
      </c>
      <c r="S8" s="7">
        <f>'P&amp;L Assumption Sheet'!S24</f>
        <v>1929375</v>
      </c>
      <c r="T8" s="7">
        <f>'P&amp;L Assumption Sheet'!T24</f>
        <v>1929375</v>
      </c>
      <c r="V8" s="7">
        <f>SUM(Q8:T8)</f>
        <v>7717500</v>
      </c>
      <c r="X8" s="7">
        <f>'P&amp;L Assumption Sheet'!X24</f>
        <v>2025843.75</v>
      </c>
      <c r="Y8" s="7">
        <f>'P&amp;L Assumption Sheet'!Y24</f>
        <v>4051687.5</v>
      </c>
      <c r="Z8" s="7">
        <f>'P&amp;L Assumption Sheet'!Z24</f>
        <v>4051687.5</v>
      </c>
      <c r="AA8" s="7">
        <f>'P&amp;L Assumption Sheet'!AA24</f>
        <v>4051687.5</v>
      </c>
      <c r="AC8" s="7">
        <f>SUM(X8:AA8)</f>
        <v>14180906.25</v>
      </c>
      <c r="AE8" s="7">
        <f>'P&amp;L Assumption Sheet'!AE24</f>
        <v>4254271.875</v>
      </c>
      <c r="AF8" s="7">
        <f>'P&amp;L Assumption Sheet'!AF24</f>
        <v>4254271.875</v>
      </c>
      <c r="AG8" s="7">
        <f>'P&amp;L Assumption Sheet'!AG24</f>
        <v>4254271.875</v>
      </c>
      <c r="AH8" s="7">
        <f>'P&amp;L Assumption Sheet'!AH24</f>
        <v>4254271.875</v>
      </c>
      <c r="AJ8" s="7">
        <f>SUM(AE8:AH8)</f>
        <v>17017087.5</v>
      </c>
    </row>
    <row r="9" spans="2:36" ht="16" thickBot="1" x14ac:dyDescent="0.25">
      <c r="B9" s="5" t="s">
        <v>190</v>
      </c>
      <c r="C9" s="7">
        <f>'P&amp;L Assumption Sheet'!C28</f>
        <v>350000</v>
      </c>
      <c r="D9" s="7">
        <f>'P&amp;L Assumption Sheet'!D28</f>
        <v>350000</v>
      </c>
      <c r="E9" s="7">
        <f>'P&amp;L Assumption Sheet'!E28</f>
        <v>700000</v>
      </c>
      <c r="F9" s="7">
        <f>'P&amp;L Assumption Sheet'!F28</f>
        <v>700000</v>
      </c>
      <c r="G9" s="8"/>
      <c r="H9" s="7">
        <f>SUM(C9:F9)</f>
        <v>2100000</v>
      </c>
      <c r="I9" s="8"/>
      <c r="J9" s="7">
        <f>'P&amp;L Assumption Sheet'!J28</f>
        <v>1837500</v>
      </c>
      <c r="K9" s="7">
        <f>'P&amp;L Assumption Sheet'!K28</f>
        <v>1837500</v>
      </c>
      <c r="L9" s="7">
        <f>'P&amp;L Assumption Sheet'!L28</f>
        <v>1837500</v>
      </c>
      <c r="M9" s="7">
        <f>'P&amp;L Assumption Sheet'!M28</f>
        <v>1837500</v>
      </c>
      <c r="N9" s="8"/>
      <c r="O9" s="7">
        <f>SUM(J9:M9)</f>
        <v>7350000</v>
      </c>
      <c r="P9" s="8"/>
      <c r="Q9" s="7">
        <f>'P&amp;L Assumption Sheet'!Q28</f>
        <v>1929375</v>
      </c>
      <c r="R9" s="7">
        <f>'P&amp;L Assumption Sheet'!R28</f>
        <v>1929375</v>
      </c>
      <c r="S9" s="7">
        <f>'P&amp;L Assumption Sheet'!S28</f>
        <v>1929375</v>
      </c>
      <c r="T9" s="7">
        <f>'P&amp;L Assumption Sheet'!T28</f>
        <v>1929375</v>
      </c>
      <c r="U9" s="8"/>
      <c r="V9" s="7">
        <f>SUM(Q9:T9)</f>
        <v>7717500</v>
      </c>
      <c r="W9" s="8"/>
      <c r="X9" s="7">
        <f>'P&amp;L Assumption Sheet'!X28</f>
        <v>4051687.5</v>
      </c>
      <c r="Y9" s="7">
        <f>'P&amp;L Assumption Sheet'!Y28</f>
        <v>4051687.5</v>
      </c>
      <c r="Z9" s="7">
        <f>'P&amp;L Assumption Sheet'!Z28</f>
        <v>4051687.5</v>
      </c>
      <c r="AA9" s="7">
        <f>'P&amp;L Assumption Sheet'!AA28</f>
        <v>4051687.5</v>
      </c>
      <c r="AB9" s="8"/>
      <c r="AC9" s="7">
        <f>SUM(X9:AA9)</f>
        <v>16206750</v>
      </c>
      <c r="AD9" s="8"/>
      <c r="AE9" s="7">
        <f>'P&amp;L Assumption Sheet'!AE28</f>
        <v>4254271.875</v>
      </c>
      <c r="AF9" s="7">
        <f>'P&amp;L Assumption Sheet'!AF28</f>
        <v>4254271.875</v>
      </c>
      <c r="AG9" s="7">
        <f>'P&amp;L Assumption Sheet'!AG28</f>
        <v>4254271.875</v>
      </c>
      <c r="AH9" s="7">
        <f>'P&amp;L Assumption Sheet'!AH28</f>
        <v>4254271.875</v>
      </c>
      <c r="AI9" s="8"/>
      <c r="AJ9" s="7">
        <f>SUM(AE9:AH9)</f>
        <v>17017087.5</v>
      </c>
    </row>
    <row r="10" spans="2:36" ht="16" thickBot="1" x14ac:dyDescent="0.25">
      <c r="B10" s="10" t="s">
        <v>48</v>
      </c>
      <c r="C10" s="11">
        <f>SUM(C7:C9)</f>
        <v>350000</v>
      </c>
      <c r="D10" s="11">
        <f t="shared" ref="D10:H10" si="0">SUM(D7:D9)</f>
        <v>350000</v>
      </c>
      <c r="E10" s="11">
        <f t="shared" si="0"/>
        <v>700000</v>
      </c>
      <c r="F10" s="12">
        <f t="shared" si="0"/>
        <v>700000</v>
      </c>
      <c r="H10" s="13">
        <f t="shared" si="0"/>
        <v>2100000</v>
      </c>
      <c r="J10" s="11">
        <f>SUM(J7:J9)</f>
        <v>1942500</v>
      </c>
      <c r="K10" s="11">
        <f t="shared" ref="K10:M10" si="1">SUM(K7:K9)</f>
        <v>2415000</v>
      </c>
      <c r="L10" s="11">
        <f t="shared" si="1"/>
        <v>3255000</v>
      </c>
      <c r="M10" s="12">
        <f t="shared" si="1"/>
        <v>3465000</v>
      </c>
      <c r="O10" s="13">
        <f t="shared" ref="O10" si="2">SUM(O7:O9)</f>
        <v>11077500</v>
      </c>
      <c r="Q10" s="11">
        <f>SUM(Q7:Q9)</f>
        <v>4630500</v>
      </c>
      <c r="R10" s="11">
        <f t="shared" ref="R10:T10" si="3">SUM(R7:R9)</f>
        <v>4851000</v>
      </c>
      <c r="S10" s="11">
        <f t="shared" si="3"/>
        <v>5181750</v>
      </c>
      <c r="T10" s="12">
        <f t="shared" si="3"/>
        <v>5512500</v>
      </c>
      <c r="V10" s="13">
        <f t="shared" ref="V10" si="4">SUM(V7:V9)</f>
        <v>20175750</v>
      </c>
      <c r="X10" s="14">
        <f>SUM(X7:X9)</f>
        <v>8161256.25</v>
      </c>
      <c r="Y10" s="11">
        <f t="shared" ref="Y10:AA10" si="5">SUM(Y7:Y9)</f>
        <v>10650150</v>
      </c>
      <c r="Z10" s="11">
        <f t="shared" si="5"/>
        <v>11113200</v>
      </c>
      <c r="AA10" s="12">
        <f t="shared" si="5"/>
        <v>11692012.5</v>
      </c>
      <c r="AC10" s="13">
        <f t="shared" ref="AC10" si="6">SUM(AC7:AC9)</f>
        <v>41616618.75</v>
      </c>
      <c r="AE10" s="14">
        <f>SUM(AE7:AE9)</f>
        <v>12884366.25</v>
      </c>
      <c r="AF10" s="11">
        <f t="shared" ref="AF10:AH10" si="7">SUM(AF7:AF9)</f>
        <v>13492119.375</v>
      </c>
      <c r="AG10" s="11">
        <f t="shared" si="7"/>
        <v>14099872.5</v>
      </c>
      <c r="AH10" s="12">
        <f t="shared" si="7"/>
        <v>14707625.625</v>
      </c>
      <c r="AJ10" s="13">
        <f t="shared" ref="AJ10" si="8">SUM(AJ7:AJ9)</f>
        <v>55183983.75</v>
      </c>
    </row>
    <row r="12" spans="2:36" x14ac:dyDescent="0.2">
      <c r="B12" s="21" t="s">
        <v>55</v>
      </c>
    </row>
    <row r="13" spans="2:36" x14ac:dyDescent="0.2">
      <c r="B13" s="5" t="s">
        <v>153</v>
      </c>
      <c r="C13" s="7">
        <f>'P&amp;L Assumption Sheet'!C35</f>
        <v>259000</v>
      </c>
      <c r="D13" s="7">
        <f>'P&amp;L Assumption Sheet'!D35</f>
        <v>259000</v>
      </c>
      <c r="E13" s="7">
        <f>'P&amp;L Assumption Sheet'!E35</f>
        <v>518000</v>
      </c>
      <c r="F13" s="7">
        <f>'P&amp;L Assumption Sheet'!F35</f>
        <v>518000</v>
      </c>
      <c r="H13" s="7">
        <f>SUM(C13:F13)</f>
        <v>1554000</v>
      </c>
      <c r="J13" s="7">
        <f>'P&amp;L Assumption Sheet'!J35</f>
        <v>1230250</v>
      </c>
      <c r="K13" s="7">
        <f>'P&amp;L Assumption Sheet'!K35</f>
        <v>1230250</v>
      </c>
      <c r="L13" s="7">
        <f>'P&amp;L Assumption Sheet'!L35</f>
        <v>1230250</v>
      </c>
      <c r="M13" s="7">
        <f>'P&amp;L Assumption Sheet'!M35</f>
        <v>1230250</v>
      </c>
      <c r="O13" s="7">
        <f>SUM(J13:M13)</f>
        <v>4921000</v>
      </c>
      <c r="Q13" s="7">
        <f>'P&amp;L Assumption Sheet'!Q35</f>
        <v>1168737.5</v>
      </c>
      <c r="R13" s="7">
        <f>'P&amp;L Assumption Sheet'!R35</f>
        <v>1168737.5</v>
      </c>
      <c r="S13" s="7">
        <f>'P&amp;L Assumption Sheet'!S35</f>
        <v>1168737.5</v>
      </c>
      <c r="T13" s="7">
        <f>'P&amp;L Assumption Sheet'!T35</f>
        <v>1168737.5</v>
      </c>
      <c r="V13" s="7">
        <f>SUM(Q13:T13)</f>
        <v>4674950</v>
      </c>
      <c r="X13" s="7">
        <f>'P&amp;L Assumption Sheet'!X35</f>
        <v>2220601.25</v>
      </c>
      <c r="Y13" s="7">
        <f>'P&amp;L Assumption Sheet'!Y35</f>
        <v>2220601.25</v>
      </c>
      <c r="Z13" s="7">
        <f>'P&amp;L Assumption Sheet'!Z35</f>
        <v>2220601.25</v>
      </c>
      <c r="AA13" s="7">
        <f>'P&amp;L Assumption Sheet'!AA35</f>
        <v>2220601.25</v>
      </c>
      <c r="AC13" s="7">
        <f>SUM(X13:AA13)</f>
        <v>8882405</v>
      </c>
      <c r="AE13" s="7">
        <f>'P&amp;L Assumption Sheet'!AE35</f>
        <v>2109571.1875</v>
      </c>
      <c r="AF13" s="7">
        <f>'P&amp;L Assumption Sheet'!AF35</f>
        <v>2109571.1875</v>
      </c>
      <c r="AG13" s="7">
        <f>'P&amp;L Assumption Sheet'!AG35</f>
        <v>2109571.1875</v>
      </c>
      <c r="AH13" s="7">
        <f>'P&amp;L Assumption Sheet'!AH35</f>
        <v>2109571.1875</v>
      </c>
      <c r="AJ13" s="7">
        <f>SUM(AE13:AH13)</f>
        <v>8438284.75</v>
      </c>
    </row>
    <row r="14" spans="2:36" x14ac:dyDescent="0.2">
      <c r="C14" s="7"/>
      <c r="D14" s="7"/>
      <c r="E14" s="7"/>
      <c r="F14" s="7"/>
      <c r="H14" s="7"/>
      <c r="J14" s="7"/>
      <c r="K14" s="7"/>
      <c r="L14" s="7"/>
      <c r="M14" s="7"/>
      <c r="O14" s="7"/>
      <c r="Q14" s="7"/>
      <c r="R14" s="7"/>
      <c r="S14" s="7"/>
      <c r="T14" s="7"/>
      <c r="V14" s="7"/>
      <c r="X14" s="7"/>
      <c r="Y14" s="7"/>
      <c r="Z14" s="7"/>
      <c r="AA14" s="7"/>
      <c r="AC14" s="7"/>
      <c r="AE14" s="7"/>
      <c r="AF14" s="7"/>
      <c r="AG14" s="7"/>
      <c r="AH14" s="7"/>
      <c r="AJ14" s="7"/>
    </row>
    <row r="15" spans="2:36" x14ac:dyDescent="0.2">
      <c r="B15" s="23" t="s">
        <v>53</v>
      </c>
      <c r="C15" s="24">
        <f>C10-C13</f>
        <v>91000</v>
      </c>
      <c r="D15" s="24">
        <f>D10-D13</f>
        <v>91000</v>
      </c>
      <c r="E15" s="24">
        <f>E10-E13</f>
        <v>182000</v>
      </c>
      <c r="F15" s="25">
        <f>F10-F13</f>
        <v>182000</v>
      </c>
      <c r="H15" s="26">
        <f>H10-H13</f>
        <v>546000</v>
      </c>
      <c r="J15" s="29">
        <f>J10-J13</f>
        <v>712250</v>
      </c>
      <c r="K15" s="24">
        <f>K10-K13</f>
        <v>1184750</v>
      </c>
      <c r="L15" s="24">
        <f>L10-L13</f>
        <v>2024750</v>
      </c>
      <c r="M15" s="25">
        <f>M10-M13</f>
        <v>2234750</v>
      </c>
      <c r="O15" s="26">
        <f>O10-O13</f>
        <v>6156500</v>
      </c>
      <c r="Q15" s="29">
        <f>Q10-Q13</f>
        <v>3461762.5</v>
      </c>
      <c r="R15" s="24">
        <f>R10-R13</f>
        <v>3682262.5</v>
      </c>
      <c r="S15" s="24">
        <f>S10-S13</f>
        <v>4013012.5</v>
      </c>
      <c r="T15" s="25">
        <f>T10-T13</f>
        <v>4343762.5</v>
      </c>
      <c r="V15" s="26">
        <f>V10-V13</f>
        <v>15500800</v>
      </c>
      <c r="X15" s="29">
        <f>X10-X13</f>
        <v>5940655</v>
      </c>
      <c r="Y15" s="24">
        <f>Y10-Y13</f>
        <v>8429548.75</v>
      </c>
      <c r="Z15" s="24">
        <f>Z10-Z13</f>
        <v>8892598.75</v>
      </c>
      <c r="AA15" s="25">
        <f>AA10-AA13</f>
        <v>9471411.25</v>
      </c>
      <c r="AC15" s="26">
        <f>AC10-AC13</f>
        <v>32734213.75</v>
      </c>
      <c r="AE15" s="29">
        <f>AE10-AE13</f>
        <v>10774795.0625</v>
      </c>
      <c r="AF15" s="24">
        <f>AF10-AF13</f>
        <v>11382548.1875</v>
      </c>
      <c r="AG15" s="24">
        <f>AG10-AG13</f>
        <v>11990301.3125</v>
      </c>
      <c r="AH15" s="25">
        <f>AH10-AH13</f>
        <v>12598054.4375</v>
      </c>
      <c r="AJ15" s="26">
        <f>AJ10-AJ13</f>
        <v>46745699</v>
      </c>
    </row>
    <row r="16" spans="2:36" x14ac:dyDescent="0.2">
      <c r="B16" s="27" t="s">
        <v>54</v>
      </c>
      <c r="C16" s="28">
        <f>IFERROR(C15/C10,0%)</f>
        <v>0.26</v>
      </c>
      <c r="D16" s="28">
        <f>IFERROR(D15/D10,0%)</f>
        <v>0.26</v>
      </c>
      <c r="E16" s="28">
        <f>IFERROR(E15/E10,0%)</f>
        <v>0.26</v>
      </c>
      <c r="F16" s="28">
        <f>IFERROR(F15/F10,0%)</f>
        <v>0.26</v>
      </c>
      <c r="H16" s="28">
        <f>IFERROR(H15/H10,0%)</f>
        <v>0.26</v>
      </c>
      <c r="J16" s="28">
        <f>IFERROR(J15/J10,0%)</f>
        <v>0.36666666666666664</v>
      </c>
      <c r="K16" s="28">
        <f>IFERROR(K15/K10,0%)</f>
        <v>0.49057971014492752</v>
      </c>
      <c r="L16" s="28">
        <f>IFERROR(L15/L10,0%)</f>
        <v>0.6220430107526882</v>
      </c>
      <c r="M16" s="28">
        <f>IFERROR(M15/M10,0%)</f>
        <v>0.64494949494949494</v>
      </c>
      <c r="O16" s="28">
        <f>IFERROR(O15/O10,0%)</f>
        <v>0.55576619273301742</v>
      </c>
      <c r="Q16" s="28">
        <f>IFERROR(Q15/Q10,0%)</f>
        <v>0.74760015117157974</v>
      </c>
      <c r="R16" s="28">
        <f>IFERROR(R15/R10,0%)</f>
        <v>0.75907287157287162</v>
      </c>
      <c r="S16" s="28">
        <f>IFERROR(S15/S10,0%)</f>
        <v>0.77445119891928405</v>
      </c>
      <c r="T16" s="28">
        <f>IFERROR(T15/T10,0%)</f>
        <v>0.78798412698412701</v>
      </c>
      <c r="V16" s="28">
        <f>IFERROR(V15/V10,0%)</f>
        <v>0.76828866337063062</v>
      </c>
      <c r="X16" s="28">
        <f>IFERROR(X15/X10,0%)</f>
        <v>0.72790938282326323</v>
      </c>
      <c r="Y16" s="28">
        <f>IFERROR(Y15/Y10,0%)</f>
        <v>0.79149577705478324</v>
      </c>
      <c r="Z16" s="28">
        <f>IFERROR(Z15/Z10,0%)</f>
        <v>0.80018345301083393</v>
      </c>
      <c r="AA16" s="28">
        <f>IFERROR(AA15/AA10,0%)</f>
        <v>0.81007536127762436</v>
      </c>
      <c r="AC16" s="28">
        <f>IFERROR(AC15/AC10,0%)</f>
        <v>0.78656591364717732</v>
      </c>
      <c r="AE16" s="28">
        <f>IFERROR(AE15/AE10,0%)</f>
        <v>0.83626892106548123</v>
      </c>
      <c r="AF16" s="28">
        <f>IFERROR(AF15/AF10,0%)</f>
        <v>0.84364419489136044</v>
      </c>
      <c r="AG16" s="28">
        <f>IFERROR(AG15/AG10,0%)</f>
        <v>0.85038366924949149</v>
      </c>
      <c r="AH16" s="28">
        <f>IFERROR(AH15/AH10,0%)</f>
        <v>0.85656616225571081</v>
      </c>
      <c r="AJ16" s="28">
        <f>IFERROR(AJ15/AJ10,0%)</f>
        <v>0.84708815535630844</v>
      </c>
    </row>
    <row r="18" spans="2:36" x14ac:dyDescent="0.2">
      <c r="B18" s="21" t="s">
        <v>56</v>
      </c>
    </row>
    <row r="19" spans="2:36" x14ac:dyDescent="0.2">
      <c r="B19" s="5" t="s">
        <v>63</v>
      </c>
      <c r="C19" s="7">
        <f>'P&amp;L Assumption Sheet'!C41</f>
        <v>0</v>
      </c>
      <c r="D19" s="7">
        <f>'P&amp;L Assumption Sheet'!D41</f>
        <v>0</v>
      </c>
      <c r="E19" s="7">
        <f>'P&amp;L Assumption Sheet'!E41</f>
        <v>0</v>
      </c>
      <c r="F19" s="7">
        <f>'P&amp;L Assumption Sheet'!F41</f>
        <v>0</v>
      </c>
      <c r="H19" s="7">
        <f t="shared" ref="H19:H27" si="9">SUM(C19:F19)</f>
        <v>0</v>
      </c>
      <c r="J19" s="7">
        <f>'P&amp;L Assumption Sheet'!J41</f>
        <v>77700</v>
      </c>
      <c r="K19" s="7">
        <f>'P&amp;L Assumption Sheet'!K41</f>
        <v>96600</v>
      </c>
      <c r="L19" s="7">
        <f>'P&amp;L Assumption Sheet'!L41</f>
        <v>130200</v>
      </c>
      <c r="M19" s="7">
        <f>'P&amp;L Assumption Sheet'!M41</f>
        <v>138600</v>
      </c>
      <c r="O19" s="7">
        <f t="shared" ref="O19:O27" si="10">SUM(J19:M19)</f>
        <v>443100</v>
      </c>
      <c r="Q19" s="7">
        <f>'P&amp;L Assumption Sheet'!Q41</f>
        <v>185220</v>
      </c>
      <c r="R19" s="7">
        <f>'P&amp;L Assumption Sheet'!R41</f>
        <v>194040</v>
      </c>
      <c r="S19" s="7">
        <f>'P&amp;L Assumption Sheet'!S41</f>
        <v>207270</v>
      </c>
      <c r="T19" s="7">
        <f>'P&amp;L Assumption Sheet'!T41</f>
        <v>220500</v>
      </c>
      <c r="V19" s="7">
        <f t="shared" ref="V19:V27" si="11">SUM(Q19:T19)</f>
        <v>807030</v>
      </c>
      <c r="X19" s="7">
        <f>'P&amp;L Assumption Sheet'!X41</f>
        <v>163225.125</v>
      </c>
      <c r="Y19" s="7">
        <f>'P&amp;L Assumption Sheet'!Y41</f>
        <v>213003</v>
      </c>
      <c r="Z19" s="7">
        <f>'P&amp;L Assumption Sheet'!Z41</f>
        <v>222264</v>
      </c>
      <c r="AA19" s="7">
        <f>'P&amp;L Assumption Sheet'!AA41</f>
        <v>233840.25</v>
      </c>
      <c r="AC19" s="7">
        <f t="shared" ref="AC19:AC27" si="12">SUM(X19:AA19)</f>
        <v>832332.375</v>
      </c>
      <c r="AE19" s="7">
        <f>'P&amp;L Assumption Sheet'!AE41</f>
        <v>257687.32500000001</v>
      </c>
      <c r="AF19" s="7">
        <f>'P&amp;L Assumption Sheet'!AF41</f>
        <v>269842.38750000001</v>
      </c>
      <c r="AG19" s="7">
        <f>'P&amp;L Assumption Sheet'!AG41</f>
        <v>281997.45</v>
      </c>
      <c r="AH19" s="7">
        <f>'P&amp;L Assumption Sheet'!AH41</f>
        <v>294152.51250000001</v>
      </c>
      <c r="AJ19" s="7">
        <f t="shared" ref="AJ19:AJ27" si="13">SUM(AE19:AH19)</f>
        <v>1103679.675</v>
      </c>
    </row>
    <row r="20" spans="2:36" x14ac:dyDescent="0.2">
      <c r="B20" s="5" t="s">
        <v>58</v>
      </c>
      <c r="C20" s="7">
        <f>'P&amp;L Assumption Sheet'!C43</f>
        <v>7000</v>
      </c>
      <c r="D20" s="7">
        <f>'P&amp;L Assumption Sheet'!D43</f>
        <v>7000</v>
      </c>
      <c r="E20" s="7">
        <f>'P&amp;L Assumption Sheet'!E43</f>
        <v>7000</v>
      </c>
      <c r="F20" s="7">
        <f>'P&amp;L Assumption Sheet'!F43</f>
        <v>7000</v>
      </c>
      <c r="H20" s="7">
        <f t="shared" si="9"/>
        <v>28000</v>
      </c>
      <c r="J20" s="7">
        <f>'P&amp;L Assumption Sheet'!J43</f>
        <v>58275</v>
      </c>
      <c r="K20" s="7">
        <f>'P&amp;L Assumption Sheet'!K43</f>
        <v>72450</v>
      </c>
      <c r="L20" s="7">
        <f>'P&amp;L Assumption Sheet'!L43</f>
        <v>97650</v>
      </c>
      <c r="M20" s="7">
        <f>'P&amp;L Assumption Sheet'!M43</f>
        <v>103950</v>
      </c>
      <c r="O20" s="7">
        <f t="shared" si="10"/>
        <v>332325</v>
      </c>
      <c r="Q20" s="7">
        <f>'P&amp;L Assumption Sheet'!Q43</f>
        <v>115762.5</v>
      </c>
      <c r="R20" s="7">
        <f>'P&amp;L Assumption Sheet'!R43</f>
        <v>121275</v>
      </c>
      <c r="S20" s="7">
        <f>'P&amp;L Assumption Sheet'!S43</f>
        <v>129543.75</v>
      </c>
      <c r="T20" s="7">
        <f>'P&amp;L Assumption Sheet'!T43</f>
        <v>137812.5</v>
      </c>
      <c r="V20" s="7">
        <f t="shared" si="11"/>
        <v>504393.75</v>
      </c>
      <c r="X20" s="7">
        <f>'P&amp;L Assumption Sheet'!X43</f>
        <v>204031.40625</v>
      </c>
      <c r="Y20" s="7">
        <f>'P&amp;L Assumption Sheet'!Y43</f>
        <v>266253.75</v>
      </c>
      <c r="Z20" s="7">
        <f>'P&amp;L Assumption Sheet'!Z43</f>
        <v>277830</v>
      </c>
      <c r="AA20" s="7">
        <f>'P&amp;L Assumption Sheet'!AA43</f>
        <v>292300.3125</v>
      </c>
      <c r="AC20" s="7">
        <f t="shared" si="12"/>
        <v>1040415.46875</v>
      </c>
      <c r="AE20" s="7">
        <f>'P&amp;L Assumption Sheet'!AE43</f>
        <v>257687.32500000001</v>
      </c>
      <c r="AF20" s="7">
        <f>'P&amp;L Assumption Sheet'!AF43</f>
        <v>269842.38750000001</v>
      </c>
      <c r="AG20" s="7">
        <f>'P&amp;L Assumption Sheet'!AG43</f>
        <v>281997.45</v>
      </c>
      <c r="AH20" s="7">
        <f>'P&amp;L Assumption Sheet'!AH43</f>
        <v>294152.51250000001</v>
      </c>
      <c r="AJ20" s="7">
        <f t="shared" si="13"/>
        <v>1103679.675</v>
      </c>
    </row>
    <row r="21" spans="2:36" x14ac:dyDescent="0.2">
      <c r="B21" s="31" t="s">
        <v>59</v>
      </c>
      <c r="C21" s="7">
        <f>'P&amp;L Assumption Sheet'!C45</f>
        <v>70000</v>
      </c>
      <c r="D21" s="7">
        <f>'P&amp;L Assumption Sheet'!D45</f>
        <v>70000</v>
      </c>
      <c r="E21" s="7">
        <f>'P&amp;L Assumption Sheet'!E45</f>
        <v>84000</v>
      </c>
      <c r="F21" s="7">
        <f>'P&amp;L Assumption Sheet'!F45</f>
        <v>84000</v>
      </c>
      <c r="H21" s="7">
        <f t="shared" si="9"/>
        <v>308000</v>
      </c>
      <c r="J21" s="7">
        <f>'P&amp;L Assumption Sheet'!J45</f>
        <v>213675</v>
      </c>
      <c r="K21" s="7">
        <f>'P&amp;L Assumption Sheet'!K45</f>
        <v>229425</v>
      </c>
      <c r="L21" s="7">
        <f>'P&amp;L Assumption Sheet'!L45</f>
        <v>260400</v>
      </c>
      <c r="M21" s="7">
        <f>'P&amp;L Assumption Sheet'!M45</f>
        <v>277200</v>
      </c>
      <c r="O21" s="7">
        <f t="shared" si="10"/>
        <v>980700</v>
      </c>
      <c r="Q21" s="7">
        <f>'P&amp;L Assumption Sheet'!Q45</f>
        <v>370440</v>
      </c>
      <c r="R21" s="7">
        <f>'P&amp;L Assumption Sheet'!R45</f>
        <v>388080</v>
      </c>
      <c r="S21" s="7">
        <f>'P&amp;L Assumption Sheet'!S45</f>
        <v>414540</v>
      </c>
      <c r="T21" s="7">
        <f>'P&amp;L Assumption Sheet'!T45</f>
        <v>441000</v>
      </c>
      <c r="V21" s="7">
        <f t="shared" si="11"/>
        <v>1614060</v>
      </c>
      <c r="X21" s="7">
        <f>'P&amp;L Assumption Sheet'!X45</f>
        <v>652900.5</v>
      </c>
      <c r="Y21" s="7">
        <f>'P&amp;L Assumption Sheet'!Y45</f>
        <v>745510.50000000012</v>
      </c>
      <c r="Z21" s="7">
        <f>'P&amp;L Assumption Sheet'!Z45</f>
        <v>777924.00000000012</v>
      </c>
      <c r="AA21" s="7">
        <f>'P&amp;L Assumption Sheet'!AA45</f>
        <v>818440.87500000012</v>
      </c>
      <c r="AC21" s="7">
        <f t="shared" si="12"/>
        <v>2994775.875</v>
      </c>
      <c r="AE21" s="7">
        <f>'P&amp;L Assumption Sheet'!AE45</f>
        <v>901905.63750000007</v>
      </c>
      <c r="AF21" s="7">
        <f>'P&amp;L Assumption Sheet'!AF45</f>
        <v>944448.35625000007</v>
      </c>
      <c r="AG21" s="7">
        <f>'P&amp;L Assumption Sheet'!AG45</f>
        <v>986991.07500000007</v>
      </c>
      <c r="AH21" s="7">
        <f>'P&amp;L Assumption Sheet'!AH45</f>
        <v>1029533.7937500001</v>
      </c>
      <c r="AJ21" s="7">
        <f t="shared" si="13"/>
        <v>3862878.8625000003</v>
      </c>
    </row>
    <row r="22" spans="2:36" x14ac:dyDescent="0.2">
      <c r="B22" s="31" t="s">
        <v>60</v>
      </c>
      <c r="C22" s="7">
        <f>'P&amp;L Assumption Sheet'!C47</f>
        <v>0</v>
      </c>
      <c r="D22" s="7">
        <f>'P&amp;L Assumption Sheet'!D47</f>
        <v>0</v>
      </c>
      <c r="E22" s="7">
        <f>'P&amp;L Assumption Sheet'!E47</f>
        <v>0</v>
      </c>
      <c r="F22" s="7">
        <f>'P&amp;L Assumption Sheet'!F47</f>
        <v>0</v>
      </c>
      <c r="H22" s="7">
        <f t="shared" si="9"/>
        <v>0</v>
      </c>
      <c r="J22" s="7">
        <f>'P&amp;L Assumption Sheet'!J47</f>
        <v>0</v>
      </c>
      <c r="K22" s="7">
        <f>'P&amp;L Assumption Sheet'!K47</f>
        <v>0</v>
      </c>
      <c r="L22" s="7">
        <f>'P&amp;L Assumption Sheet'!L47</f>
        <v>0</v>
      </c>
      <c r="M22" s="7">
        <f>'P&amp;L Assumption Sheet'!M47</f>
        <v>0</v>
      </c>
      <c r="O22" s="7">
        <f t="shared" si="10"/>
        <v>0</v>
      </c>
      <c r="Q22" s="7">
        <f>'P&amp;L Assumption Sheet'!Q47</f>
        <v>13891.5</v>
      </c>
      <c r="R22" s="7">
        <f>'P&amp;L Assumption Sheet'!R47</f>
        <v>14553</v>
      </c>
      <c r="S22" s="7">
        <f>'P&amp;L Assumption Sheet'!S47</f>
        <v>15545.25</v>
      </c>
      <c r="T22" s="7">
        <f>'P&amp;L Assumption Sheet'!T47</f>
        <v>16537.5</v>
      </c>
      <c r="V22" s="7">
        <f t="shared" si="11"/>
        <v>60527.25</v>
      </c>
      <c r="X22" s="7">
        <f>'P&amp;L Assumption Sheet'!X47</f>
        <v>24483.768749999999</v>
      </c>
      <c r="Y22" s="7">
        <f>'P&amp;L Assumption Sheet'!Y47</f>
        <v>31950.45</v>
      </c>
      <c r="Z22" s="7">
        <f>'P&amp;L Assumption Sheet'!Z47</f>
        <v>33339.599999999999</v>
      </c>
      <c r="AA22" s="7">
        <f>'P&amp;L Assumption Sheet'!AA47</f>
        <v>35076.037499999999</v>
      </c>
      <c r="AC22" s="7">
        <f t="shared" si="12"/>
        <v>124849.85625000001</v>
      </c>
      <c r="AE22" s="7">
        <f>'P&amp;L Assumption Sheet'!AE47</f>
        <v>38653.098749999997</v>
      </c>
      <c r="AF22" s="7">
        <f>'P&amp;L Assumption Sheet'!AF47</f>
        <v>40476.358124999999</v>
      </c>
      <c r="AG22" s="7">
        <f>'P&amp;L Assumption Sheet'!AG47</f>
        <v>42299.6175</v>
      </c>
      <c r="AH22" s="7">
        <f>'P&amp;L Assumption Sheet'!AH47</f>
        <v>44122.876875000002</v>
      </c>
      <c r="AJ22" s="7">
        <f t="shared" si="13"/>
        <v>165551.95124999998</v>
      </c>
    </row>
    <row r="23" spans="2:36" x14ac:dyDescent="0.2">
      <c r="B23" s="31" t="s">
        <v>61</v>
      </c>
      <c r="C23" s="7">
        <f>'P&amp;L Assumption Sheet'!C49</f>
        <v>10500</v>
      </c>
      <c r="D23" s="7">
        <f>'P&amp;L Assumption Sheet'!D49</f>
        <v>10500</v>
      </c>
      <c r="E23" s="7">
        <f>'P&amp;L Assumption Sheet'!E49</f>
        <v>14000</v>
      </c>
      <c r="F23" s="7">
        <f>'P&amp;L Assumption Sheet'!F49</f>
        <v>14000</v>
      </c>
      <c r="H23" s="7">
        <f t="shared" si="9"/>
        <v>49000</v>
      </c>
      <c r="J23" s="7">
        <f>'P&amp;L Assumption Sheet'!J49</f>
        <v>38850</v>
      </c>
      <c r="K23" s="7">
        <f>'P&amp;L Assumption Sheet'!K49</f>
        <v>48300</v>
      </c>
      <c r="L23" s="7">
        <f>'P&amp;L Assumption Sheet'!L49</f>
        <v>48825</v>
      </c>
      <c r="M23" s="7">
        <f>'P&amp;L Assumption Sheet'!M49</f>
        <v>51975</v>
      </c>
      <c r="O23" s="7">
        <f t="shared" si="10"/>
        <v>187950</v>
      </c>
      <c r="Q23" s="7">
        <f>'P&amp;L Assumption Sheet'!Q49</f>
        <v>57881.25</v>
      </c>
      <c r="R23" s="7">
        <f>'P&amp;L Assumption Sheet'!R49</f>
        <v>60637.5</v>
      </c>
      <c r="S23" s="7">
        <f>'P&amp;L Assumption Sheet'!S49</f>
        <v>64771.875</v>
      </c>
      <c r="T23" s="7">
        <f>'P&amp;L Assumption Sheet'!T49</f>
        <v>68906.25</v>
      </c>
      <c r="V23" s="7">
        <f t="shared" si="11"/>
        <v>252196.875</v>
      </c>
      <c r="X23" s="7">
        <f>'P&amp;L Assumption Sheet'!X49</f>
        <v>81612.5625</v>
      </c>
      <c r="Y23" s="7">
        <f>'P&amp;L Assumption Sheet'!Y49</f>
        <v>106501.5</v>
      </c>
      <c r="Z23" s="7">
        <f>'P&amp;L Assumption Sheet'!Z49</f>
        <v>111132</v>
      </c>
      <c r="AA23" s="7">
        <f>'P&amp;L Assumption Sheet'!AA49</f>
        <v>116920.125</v>
      </c>
      <c r="AC23" s="7">
        <f t="shared" si="12"/>
        <v>416166.1875</v>
      </c>
      <c r="AE23" s="7">
        <f>'P&amp;L Assumption Sheet'!AE49</f>
        <v>128843.66250000001</v>
      </c>
      <c r="AF23" s="7">
        <f>'P&amp;L Assumption Sheet'!AF49</f>
        <v>134921.19375000001</v>
      </c>
      <c r="AG23" s="7">
        <f>'P&amp;L Assumption Sheet'!AG49</f>
        <v>140998.72500000001</v>
      </c>
      <c r="AH23" s="7">
        <f>'P&amp;L Assumption Sheet'!AH49</f>
        <v>147076.25625000001</v>
      </c>
      <c r="AJ23" s="7">
        <f t="shared" si="13"/>
        <v>551839.83750000002</v>
      </c>
    </row>
    <row r="24" spans="2:36" x14ac:dyDescent="0.2">
      <c r="B24" s="31" t="s">
        <v>62</v>
      </c>
      <c r="C24" s="7">
        <f>'P&amp;L Assumption Sheet'!C51</f>
        <v>0</v>
      </c>
      <c r="D24" s="7">
        <f>'P&amp;L Assumption Sheet'!D51</f>
        <v>0</v>
      </c>
      <c r="E24" s="7">
        <f>'P&amp;L Assumption Sheet'!E51</f>
        <v>49000.000000000007</v>
      </c>
      <c r="F24" s="7">
        <f>'P&amp;L Assumption Sheet'!F51</f>
        <v>49000.000000000007</v>
      </c>
      <c r="H24" s="7">
        <f t="shared" si="9"/>
        <v>98000.000000000015</v>
      </c>
      <c r="J24" s="7">
        <f>'P&amp;L Assumption Sheet'!J51</f>
        <v>58275</v>
      </c>
      <c r="K24" s="7">
        <f>'P&amp;L Assumption Sheet'!K51</f>
        <v>72450</v>
      </c>
      <c r="L24" s="7">
        <f>'P&amp;L Assumption Sheet'!L51</f>
        <v>97650</v>
      </c>
      <c r="M24" s="7">
        <f>'P&amp;L Assumption Sheet'!M51</f>
        <v>103950</v>
      </c>
      <c r="O24" s="7">
        <f t="shared" si="10"/>
        <v>332325</v>
      </c>
      <c r="Q24" s="7">
        <f>'P&amp;L Assumption Sheet'!Q51</f>
        <v>92610</v>
      </c>
      <c r="R24" s="7">
        <f>'P&amp;L Assumption Sheet'!R51</f>
        <v>97020</v>
      </c>
      <c r="S24" s="7">
        <f>'P&amp;L Assumption Sheet'!S51</f>
        <v>103635</v>
      </c>
      <c r="T24" s="7">
        <f>'P&amp;L Assumption Sheet'!T51</f>
        <v>110250</v>
      </c>
      <c r="V24" s="7">
        <f t="shared" si="11"/>
        <v>403515</v>
      </c>
      <c r="X24" s="7">
        <f>'P&amp;L Assumption Sheet'!X51</f>
        <v>122418.84375</v>
      </c>
      <c r="Y24" s="7">
        <f>'P&amp;L Assumption Sheet'!Y51</f>
        <v>159752.25</v>
      </c>
      <c r="Z24" s="7">
        <f>'P&amp;L Assumption Sheet'!Z51</f>
        <v>166698</v>
      </c>
      <c r="AA24" s="7">
        <f>'P&amp;L Assumption Sheet'!AA51</f>
        <v>175380.1875</v>
      </c>
      <c r="AC24" s="7">
        <f t="shared" si="12"/>
        <v>624249.28125</v>
      </c>
      <c r="AE24" s="7">
        <f>'P&amp;L Assumption Sheet'!AE51</f>
        <v>193265.49374999999</v>
      </c>
      <c r="AF24" s="7">
        <f>'P&amp;L Assumption Sheet'!AF51</f>
        <v>202381.79062499999</v>
      </c>
      <c r="AG24" s="7">
        <f>'P&amp;L Assumption Sheet'!AG51</f>
        <v>140998.72500000001</v>
      </c>
      <c r="AH24" s="7">
        <f>'P&amp;L Assumption Sheet'!AH51</f>
        <v>147076.25625000001</v>
      </c>
      <c r="AJ24" s="7">
        <f t="shared" si="13"/>
        <v>683722.265625</v>
      </c>
    </row>
    <row r="25" spans="2:36" x14ac:dyDescent="0.2">
      <c r="B25" s="5" t="s">
        <v>67</v>
      </c>
      <c r="C25" s="7">
        <f>'P&amp;L Assumption Sheet'!C53</f>
        <v>0</v>
      </c>
      <c r="D25" s="7">
        <f>'P&amp;L Assumption Sheet'!D53</f>
        <v>0</v>
      </c>
      <c r="E25" s="7">
        <f>'P&amp;L Assumption Sheet'!E53</f>
        <v>0</v>
      </c>
      <c r="F25" s="7">
        <f>'P&amp;L Assumption Sheet'!F53</f>
        <v>21000</v>
      </c>
      <c r="H25" s="7">
        <f t="shared" si="9"/>
        <v>21000</v>
      </c>
      <c r="J25" s="7">
        <f>'P&amp;L Assumption Sheet'!J53</f>
        <v>58275</v>
      </c>
      <c r="K25" s="7">
        <f>'P&amp;L Assumption Sheet'!K53</f>
        <v>72450</v>
      </c>
      <c r="L25" s="7">
        <f>'P&amp;L Assumption Sheet'!L53</f>
        <v>97650</v>
      </c>
      <c r="M25" s="7">
        <f>'P&amp;L Assumption Sheet'!M53</f>
        <v>103950</v>
      </c>
      <c r="O25" s="7">
        <f t="shared" si="10"/>
        <v>332325</v>
      </c>
      <c r="Q25" s="7">
        <f>'P&amp;L Assumption Sheet'!Q53</f>
        <v>138915</v>
      </c>
      <c r="R25" s="7">
        <f>'P&amp;L Assumption Sheet'!R53</f>
        <v>145530</v>
      </c>
      <c r="S25" s="7">
        <f>'P&amp;L Assumption Sheet'!S53</f>
        <v>155452.5</v>
      </c>
      <c r="T25" s="7">
        <f>'P&amp;L Assumption Sheet'!T53</f>
        <v>165375</v>
      </c>
      <c r="V25" s="7">
        <f t="shared" si="11"/>
        <v>605272.5</v>
      </c>
      <c r="X25" s="7">
        <f>'P&amp;L Assumption Sheet'!X53</f>
        <v>244837.6875</v>
      </c>
      <c r="Y25" s="7">
        <f>'P&amp;L Assumption Sheet'!Y53</f>
        <v>319504.5</v>
      </c>
      <c r="Z25" s="7">
        <f>'P&amp;L Assumption Sheet'!Z53</f>
        <v>333396</v>
      </c>
      <c r="AA25" s="7">
        <f>'P&amp;L Assumption Sheet'!AA53</f>
        <v>350760.375</v>
      </c>
      <c r="AC25" s="7">
        <f t="shared" si="12"/>
        <v>1248498.5625</v>
      </c>
      <c r="AE25" s="7">
        <f>'P&amp;L Assumption Sheet'!AE53</f>
        <v>386530.98749999999</v>
      </c>
      <c r="AF25" s="7">
        <f>'P&amp;L Assumption Sheet'!AF53</f>
        <v>404763.58124999999</v>
      </c>
      <c r="AG25" s="7">
        <f>'P&amp;L Assumption Sheet'!AG53</f>
        <v>422996.17499999999</v>
      </c>
      <c r="AH25" s="7">
        <f>'P&amp;L Assumption Sheet'!AH53</f>
        <v>441228.76874999999</v>
      </c>
      <c r="AJ25" s="7">
        <f t="shared" si="13"/>
        <v>1655519.5125</v>
      </c>
    </row>
    <row r="26" spans="2:36" x14ac:dyDescent="0.2">
      <c r="B26" s="5" t="s">
        <v>68</v>
      </c>
      <c r="C26" s="7">
        <f>'P&amp;L Assumption Sheet'!C55</f>
        <v>0</v>
      </c>
      <c r="D26" s="7">
        <f>'P&amp;L Assumption Sheet'!D55</f>
        <v>0</v>
      </c>
      <c r="E26" s="7">
        <f>'P&amp;L Assumption Sheet'!E55</f>
        <v>0</v>
      </c>
      <c r="F26" s="7">
        <f>'P&amp;L Assumption Sheet'!F55</f>
        <v>0</v>
      </c>
      <c r="H26" s="7">
        <f t="shared" si="9"/>
        <v>0</v>
      </c>
      <c r="J26" s="7">
        <f>'P&amp;L Assumption Sheet'!J55</f>
        <v>9712.5</v>
      </c>
      <c r="K26" s="7">
        <f>'P&amp;L Assumption Sheet'!K55</f>
        <v>12075</v>
      </c>
      <c r="L26" s="7">
        <f>'P&amp;L Assumption Sheet'!L55</f>
        <v>16275</v>
      </c>
      <c r="M26" s="7">
        <f>'P&amp;L Assumption Sheet'!M55</f>
        <v>17325</v>
      </c>
      <c r="O26" s="7">
        <f t="shared" si="10"/>
        <v>55387.5</v>
      </c>
      <c r="Q26" s="7">
        <f>'P&amp;L Assumption Sheet'!Q55</f>
        <v>23152.5</v>
      </c>
      <c r="R26" s="7">
        <f>'P&amp;L Assumption Sheet'!R55</f>
        <v>24255</v>
      </c>
      <c r="S26" s="7">
        <f>'P&amp;L Assumption Sheet'!S55</f>
        <v>25908.75</v>
      </c>
      <c r="T26" s="7">
        <f>'P&amp;L Assumption Sheet'!T55</f>
        <v>27562.5</v>
      </c>
      <c r="V26" s="7">
        <f t="shared" si="11"/>
        <v>100878.75</v>
      </c>
      <c r="X26" s="7">
        <f>'P&amp;L Assumption Sheet'!X55</f>
        <v>40806.28125</v>
      </c>
      <c r="Y26" s="7">
        <f>'P&amp;L Assumption Sheet'!Y55</f>
        <v>53250.75</v>
      </c>
      <c r="Z26" s="7">
        <f>'P&amp;L Assumption Sheet'!Z55</f>
        <v>55566</v>
      </c>
      <c r="AA26" s="7">
        <f>'P&amp;L Assumption Sheet'!AA55</f>
        <v>58460.0625</v>
      </c>
      <c r="AC26" s="7">
        <f t="shared" si="12"/>
        <v>208083.09375</v>
      </c>
      <c r="AE26" s="7">
        <f>'P&amp;L Assumption Sheet'!AE55</f>
        <v>64421.831250000003</v>
      </c>
      <c r="AF26" s="7">
        <f>'P&amp;L Assumption Sheet'!AF55</f>
        <v>67460.596875000003</v>
      </c>
      <c r="AG26" s="7">
        <f>'P&amp;L Assumption Sheet'!AG55</f>
        <v>70499.362500000003</v>
      </c>
      <c r="AH26" s="7">
        <f>'P&amp;L Assumption Sheet'!AH55</f>
        <v>73538.128125000003</v>
      </c>
      <c r="AJ26" s="7">
        <f t="shared" si="13"/>
        <v>275919.91875000001</v>
      </c>
    </row>
    <row r="27" spans="2:36" x14ac:dyDescent="0.2">
      <c r="B27" s="8" t="s">
        <v>65</v>
      </c>
      <c r="C27" s="9">
        <f>C19+C20+C21+C22+C23+C24+C25+C26</f>
        <v>87500</v>
      </c>
      <c r="D27" s="9">
        <f>D19+D20+D21+D22+D23+D24+D25+D26</f>
        <v>87500</v>
      </c>
      <c r="E27" s="9">
        <f>E19+E20+E21+E22+E23+E24+E25+E26</f>
        <v>154000</v>
      </c>
      <c r="F27" s="9">
        <f>F19+F20+F21+F22+F23+F24+F25+F26</f>
        <v>175000</v>
      </c>
      <c r="G27" s="8"/>
      <c r="H27" s="9">
        <f t="shared" si="9"/>
        <v>504000</v>
      </c>
      <c r="I27" s="8"/>
      <c r="J27" s="9">
        <f>J19+J20+J21+J22+J23+J24+J25+J26</f>
        <v>514762.5</v>
      </c>
      <c r="K27" s="9">
        <f>K19+K20+K21+K22+K23+K24+K25+K26</f>
        <v>603750</v>
      </c>
      <c r="L27" s="9">
        <f>L19+L20+L21+L22+L23+L24+L25+L26</f>
        <v>748650</v>
      </c>
      <c r="M27" s="9">
        <f>M19+M20+M21+M22+M23+M24+M25+M26</f>
        <v>796950</v>
      </c>
      <c r="N27" s="8"/>
      <c r="O27" s="9">
        <f t="shared" si="10"/>
        <v>2664112.5</v>
      </c>
      <c r="P27" s="8"/>
      <c r="Q27" s="9">
        <f>Q19+Q20+Q21+Q22+Q23+Q24+Q25+Q26</f>
        <v>997872.75</v>
      </c>
      <c r="R27" s="9">
        <f>R19+R20+R21+R22+R23+R24+R25+R26</f>
        <v>1045390.5</v>
      </c>
      <c r="S27" s="9">
        <f>S19+S20+S21+S22+S23+S24+S25+S26</f>
        <v>1116667.125</v>
      </c>
      <c r="T27" s="9">
        <f>T19+T20+T21+T22+T23+T24+T25+T26</f>
        <v>1187943.75</v>
      </c>
      <c r="U27" s="8"/>
      <c r="V27" s="9">
        <f t="shared" si="11"/>
        <v>4347874.125</v>
      </c>
      <c r="W27" s="8"/>
      <c r="X27" s="9">
        <f>X19+X20+X21+X22+X23+X24+X25+X26</f>
        <v>1534316.175</v>
      </c>
      <c r="Y27" s="9">
        <f>Y19+Y20+Y21+Y22+Y23+Y24+Y25+Y26</f>
        <v>1895726.7</v>
      </c>
      <c r="Z27" s="9">
        <f>Z19+Z20+Z21+Z22+Z23+Z24+Z25+Z26</f>
        <v>1978149.6</v>
      </c>
      <c r="AA27" s="9">
        <f>AA19+AA20+AA21+AA22+AA23+AA24+AA25+AA26</f>
        <v>2081178.2250000001</v>
      </c>
      <c r="AB27" s="8"/>
      <c r="AC27" s="9">
        <f t="shared" si="12"/>
        <v>7489370.6999999993</v>
      </c>
      <c r="AD27" s="8"/>
      <c r="AE27" s="9">
        <f>AE19+AE20+AE21+AE22+AE23+AE24+AE25+AE26</f>
        <v>2228995.3612499996</v>
      </c>
      <c r="AF27" s="9">
        <f>AF19+AF20+AF21+AF22+AF23+AF24+AF25+AF26</f>
        <v>2334136.651875</v>
      </c>
      <c r="AG27" s="9">
        <f>AG19+AG20+AG21+AG22+AG23+AG24+AG25+AG26</f>
        <v>2368778.58</v>
      </c>
      <c r="AH27" s="9">
        <f>AH19+AH20+AH21+AH22+AH23+AH24+AH25+AH26</f>
        <v>2470881.105</v>
      </c>
      <c r="AI27" s="8"/>
      <c r="AJ27" s="9">
        <f t="shared" si="13"/>
        <v>9402791.6981249992</v>
      </c>
    </row>
    <row r="28" spans="2:36" x14ac:dyDescent="0.2">
      <c r="B28" s="27" t="s">
        <v>57</v>
      </c>
      <c r="C28" s="28">
        <f>IFERROR(C27/C$10,0%)</f>
        <v>0.25</v>
      </c>
      <c r="D28" s="28">
        <f t="shared" ref="D28:H28" si="14">IFERROR(D27/D$10,0%)</f>
        <v>0.25</v>
      </c>
      <c r="E28" s="28">
        <f t="shared" si="14"/>
        <v>0.22</v>
      </c>
      <c r="F28" s="28">
        <f t="shared" si="14"/>
        <v>0.25</v>
      </c>
      <c r="H28" s="28">
        <f t="shared" si="14"/>
        <v>0.24</v>
      </c>
      <c r="J28" s="28">
        <f>IFERROR(J27/J$10,0%)</f>
        <v>0.26500000000000001</v>
      </c>
      <c r="K28" s="28">
        <f t="shared" ref="K28:M28" si="15">IFERROR(K27/K$10,0%)</f>
        <v>0.25</v>
      </c>
      <c r="L28" s="28">
        <f t="shared" si="15"/>
        <v>0.23</v>
      </c>
      <c r="M28" s="28">
        <f t="shared" si="15"/>
        <v>0.23</v>
      </c>
      <c r="O28" s="28">
        <f t="shared" ref="O28" si="16">IFERROR(O27/O$10,0%)</f>
        <v>0.24049763033175356</v>
      </c>
      <c r="Q28" s="28">
        <f>IFERROR(Q27/Q$10,0%)</f>
        <v>0.2155</v>
      </c>
      <c r="R28" s="28">
        <f t="shared" ref="R28:T28" si="17">IFERROR(R27/R$10,0%)</f>
        <v>0.2155</v>
      </c>
      <c r="S28" s="28">
        <f t="shared" si="17"/>
        <v>0.2155</v>
      </c>
      <c r="T28" s="28">
        <f t="shared" si="17"/>
        <v>0.2155</v>
      </c>
      <c r="V28" s="28">
        <f t="shared" ref="V28" si="18">IFERROR(V27/V$10,0%)</f>
        <v>0.2155</v>
      </c>
      <c r="X28" s="28">
        <f>IFERROR(X27/X$10,0%)</f>
        <v>0.188</v>
      </c>
      <c r="Y28" s="28">
        <f t="shared" ref="Y28:AA28" si="19">IFERROR(Y27/Y$10,0%)</f>
        <v>0.17799999999999999</v>
      </c>
      <c r="Z28" s="28">
        <f t="shared" si="19"/>
        <v>0.17800000000000002</v>
      </c>
      <c r="AA28" s="28">
        <f t="shared" si="19"/>
        <v>0.17800000000000002</v>
      </c>
      <c r="AC28" s="28">
        <f t="shared" ref="AC28" si="20">IFERROR(AC27/AC$10,0%)</f>
        <v>0.17996105702364393</v>
      </c>
      <c r="AE28" s="28">
        <f>IFERROR(AE27/AE$10,0%)</f>
        <v>0.17299999999999996</v>
      </c>
      <c r="AF28" s="28">
        <f t="shared" ref="AF28:AH28" si="21">IFERROR(AF27/AF$10,0%)</f>
        <v>0.17299999999999999</v>
      </c>
      <c r="AG28" s="28">
        <f t="shared" si="21"/>
        <v>0.16800000000000001</v>
      </c>
      <c r="AH28" s="28">
        <f t="shared" si="21"/>
        <v>0.16800000000000001</v>
      </c>
      <c r="AJ28" s="28">
        <f t="shared" ref="AJ28" si="22">IFERROR(AJ27/AJ$10,0%)</f>
        <v>0.17038986784140966</v>
      </c>
    </row>
    <row r="29" spans="2:36" ht="16" thickBot="1" x14ac:dyDescent="0.25"/>
    <row r="30" spans="2:36" ht="16" thickBot="1" x14ac:dyDescent="0.25">
      <c r="B30" s="10" t="s">
        <v>64</v>
      </c>
      <c r="C30" s="11">
        <f>C15-C27</f>
        <v>3500</v>
      </c>
      <c r="D30" s="11">
        <f>D15-D27</f>
        <v>3500</v>
      </c>
      <c r="E30" s="11">
        <f>E15-E27</f>
        <v>28000</v>
      </c>
      <c r="F30" s="12">
        <f>F15-F27</f>
        <v>7000</v>
      </c>
      <c r="H30" s="13">
        <f>SUM(C30:F30)</f>
        <v>42000</v>
      </c>
      <c r="J30" s="14">
        <f>J15-J27</f>
        <v>197487.5</v>
      </c>
      <c r="K30" s="11">
        <f>K15-K27</f>
        <v>581000</v>
      </c>
      <c r="L30" s="11">
        <f>L15-L27</f>
        <v>1276100</v>
      </c>
      <c r="M30" s="12">
        <f>M15-M27</f>
        <v>1437800</v>
      </c>
      <c r="O30" s="13">
        <f>SUM(J30:M30)</f>
        <v>3492387.5</v>
      </c>
      <c r="Q30" s="14">
        <f>Q15-Q27</f>
        <v>2463889.75</v>
      </c>
      <c r="R30" s="11">
        <f>R15-R27</f>
        <v>2636872</v>
      </c>
      <c r="S30" s="11">
        <f>S15-S27</f>
        <v>2896345.375</v>
      </c>
      <c r="T30" s="12">
        <f>T15-T27</f>
        <v>3155818.75</v>
      </c>
      <c r="V30" s="13">
        <f>SUM(Q30:T30)</f>
        <v>11152925.875</v>
      </c>
      <c r="X30" s="14">
        <f>X15-X27</f>
        <v>4406338.8250000002</v>
      </c>
      <c r="Y30" s="11">
        <f>Y15-Y27</f>
        <v>6533822.0499999998</v>
      </c>
      <c r="Z30" s="11">
        <f>Z15-Z27</f>
        <v>6914449.1500000004</v>
      </c>
      <c r="AA30" s="12">
        <f>AA15-AA27</f>
        <v>7390233.0250000004</v>
      </c>
      <c r="AC30" s="13">
        <f>SUM(X30:AA30)</f>
        <v>25244843.049999997</v>
      </c>
      <c r="AE30" s="14">
        <f>AE15-AE27</f>
        <v>8545799.7012499999</v>
      </c>
      <c r="AF30" s="11">
        <f>AF15-AF27</f>
        <v>9048411.5356249996</v>
      </c>
      <c r="AG30" s="11">
        <f>AG15-AG27</f>
        <v>9621522.7324999999</v>
      </c>
      <c r="AH30" s="12">
        <f>AH15-AH27</f>
        <v>10127173.3325</v>
      </c>
      <c r="AJ30" s="13">
        <f>SUM(AE30:AH30)</f>
        <v>37342907.301874995</v>
      </c>
    </row>
    <row r="31" spans="2:36" x14ac:dyDescent="0.2">
      <c r="B31" s="27" t="s">
        <v>66</v>
      </c>
      <c r="C31" s="28">
        <f>IFERROR(C30/C$10,0%)</f>
        <v>0.01</v>
      </c>
      <c r="D31" s="28">
        <f t="shared" ref="D31:F31" si="23">IFERROR(D30/D$10,0%)</f>
        <v>0.01</v>
      </c>
      <c r="E31" s="28">
        <f t="shared" si="23"/>
        <v>0.04</v>
      </c>
      <c r="F31" s="28">
        <f t="shared" si="23"/>
        <v>0.01</v>
      </c>
      <c r="H31" s="28">
        <f t="shared" ref="H31" si="24">IFERROR(H30/H$10,0%)</f>
        <v>0.02</v>
      </c>
      <c r="J31" s="28">
        <f>IFERROR(J30/J$10,0%)</f>
        <v>0.10166666666666667</v>
      </c>
      <c r="K31" s="28">
        <f t="shared" ref="K31:M31" si="25">IFERROR(K30/K$10,0%)</f>
        <v>0.24057971014492754</v>
      </c>
      <c r="L31" s="28">
        <f t="shared" si="25"/>
        <v>0.39204301075268816</v>
      </c>
      <c r="M31" s="28">
        <f t="shared" si="25"/>
        <v>0.41494949494949496</v>
      </c>
      <c r="O31" s="28">
        <f t="shared" ref="O31" si="26">IFERROR(O30/O$10,0%)</f>
        <v>0.31526856240126383</v>
      </c>
      <c r="Q31" s="28">
        <f>IFERROR(Q30/Q$10,0%)</f>
        <v>0.53210015117157972</v>
      </c>
      <c r="R31" s="28">
        <f t="shared" ref="R31:T31" si="27">IFERROR(R30/R$10,0%)</f>
        <v>0.5435728715728716</v>
      </c>
      <c r="S31" s="28">
        <f t="shared" si="27"/>
        <v>0.55895119891928402</v>
      </c>
      <c r="T31" s="28">
        <f t="shared" si="27"/>
        <v>0.57248412698412698</v>
      </c>
      <c r="V31" s="28">
        <f t="shared" ref="V31" si="28">IFERROR(V30/V$10,0%)</f>
        <v>0.5527886633706306</v>
      </c>
      <c r="X31" s="28">
        <f>IFERROR(X30/X$10,0%)</f>
        <v>0.53990938282326328</v>
      </c>
      <c r="Y31" s="28">
        <f t="shared" ref="Y31:AA31" si="29">IFERROR(Y30/Y$10,0%)</f>
        <v>0.6134957770547832</v>
      </c>
      <c r="Z31" s="28">
        <f t="shared" si="29"/>
        <v>0.622183453010834</v>
      </c>
      <c r="AA31" s="28">
        <f t="shared" si="29"/>
        <v>0.63207536127762443</v>
      </c>
      <c r="AC31" s="28">
        <f t="shared" ref="AC31" si="30">IFERROR(AC30/AC$10,0%)</f>
        <v>0.60660485662353325</v>
      </c>
      <c r="AE31" s="28">
        <f>IFERROR(AE30/AE$10,0%)</f>
        <v>0.66326892106548119</v>
      </c>
      <c r="AF31" s="28">
        <f t="shared" ref="AF31:AH31" si="31">IFERROR(AF30/AF$10,0%)</f>
        <v>0.6706441948913604</v>
      </c>
      <c r="AG31" s="28">
        <f t="shared" si="31"/>
        <v>0.68238366924949145</v>
      </c>
      <c r="AH31" s="28">
        <f t="shared" si="31"/>
        <v>0.68856616225571077</v>
      </c>
      <c r="AJ31" s="28">
        <f t="shared" ref="AJ31" si="32">IFERROR(AJ30/AJ$10,0%)</f>
        <v>0.67669828751489869</v>
      </c>
    </row>
    <row r="33" spans="2:36" x14ac:dyDescent="0.2">
      <c r="B33" s="5" t="s">
        <v>71</v>
      </c>
      <c r="C33" s="7">
        <f>'P&amp;L Assumption Sheet'!C64</f>
        <v>0</v>
      </c>
      <c r="D33" s="7">
        <f>'P&amp;L Assumption Sheet'!D64</f>
        <v>0</v>
      </c>
      <c r="E33" s="7">
        <f>'P&amp;L Assumption Sheet'!E64</f>
        <v>0</v>
      </c>
      <c r="F33" s="7">
        <f>'P&amp;L Assumption Sheet'!F64</f>
        <v>0</v>
      </c>
      <c r="H33" s="7">
        <f>SUM(C33:F33)</f>
        <v>0</v>
      </c>
      <c r="J33" s="7">
        <f>'P&amp;L Assumption Sheet'!J64</f>
        <v>30756.25</v>
      </c>
      <c r="K33" s="7">
        <f>'P&amp;L Assumption Sheet'!K64</f>
        <v>60743.59375</v>
      </c>
      <c r="L33" s="7">
        <f>'P&amp;L Assumption Sheet'!L64</f>
        <v>89981.25390625</v>
      </c>
      <c r="M33" s="7">
        <f>'P&amp;L Assumption Sheet'!M64</f>
        <v>149244.22255859376</v>
      </c>
      <c r="O33" s="7">
        <f>SUM(J33:M33)</f>
        <v>330725.32021484373</v>
      </c>
      <c r="Q33" s="7">
        <f>'P&amp;L Assumption Sheet'!Q64</f>
        <v>203949.99199462892</v>
      </c>
      <c r="R33" s="7">
        <f>'P&amp;L Assumption Sheet'!R64</f>
        <v>257288.11719476321</v>
      </c>
      <c r="S33" s="7">
        <f>'P&amp;L Assumption Sheet'!S64</f>
        <v>338511.22676489415</v>
      </c>
      <c r="T33" s="7">
        <f>'P&amp;L Assumption Sheet'!T64</f>
        <v>417703.7585957718</v>
      </c>
      <c r="V33" s="7">
        <f>SUM(Q33:T33)</f>
        <v>1217453.094550058</v>
      </c>
      <c r="X33" s="7">
        <f>'P&amp;L Assumption Sheet'!X64</f>
        <v>490533.71150587744</v>
      </c>
      <c r="Y33" s="7">
        <f>'P&amp;L Assumption Sheet'!Y64</f>
        <v>589300.43121823051</v>
      </c>
      <c r="Z33" s="7">
        <f>'P&amp;L Assumption Sheet'!Z64</f>
        <v>685597.98293777474</v>
      </c>
      <c r="AA33" s="7">
        <f>'P&amp;L Assumption Sheet'!AA64</f>
        <v>807245.61148933042</v>
      </c>
      <c r="AC33" s="7">
        <f>SUM(X33:AA33)</f>
        <v>2572677.737151213</v>
      </c>
      <c r="AE33" s="7">
        <f>'P&amp;L Assumption Sheet'!AE64</f>
        <v>918912.67042084713</v>
      </c>
      <c r="AF33" s="7">
        <f>'P&amp;L Assumption Sheet'!AF64</f>
        <v>1027788.052879076</v>
      </c>
      <c r="AG33" s="7">
        <f>'P&amp;L Assumption Sheet'!AG64</f>
        <v>1133941.550775849</v>
      </c>
      <c r="AH33" s="7">
        <f>'P&amp;L Assumption Sheet'!AH64</f>
        <v>1237441.211225203</v>
      </c>
      <c r="AJ33" s="7">
        <f>SUM(AE33:AH33)</f>
        <v>4318083.4853009749</v>
      </c>
    </row>
    <row r="34" spans="2:36" x14ac:dyDescent="0.2">
      <c r="B34" s="23" t="s">
        <v>74</v>
      </c>
      <c r="C34" s="24">
        <f>C30-C33</f>
        <v>3500</v>
      </c>
      <c r="D34" s="24">
        <f>D30-D33</f>
        <v>3500</v>
      </c>
      <c r="E34" s="24">
        <f>E30-E33</f>
        <v>28000</v>
      </c>
      <c r="F34" s="25">
        <f>F30-F33</f>
        <v>7000</v>
      </c>
      <c r="H34" s="26">
        <f>H30-H33</f>
        <v>42000</v>
      </c>
      <c r="J34" s="29">
        <f>J30-J33</f>
        <v>166731.25</v>
      </c>
      <c r="K34" s="24">
        <f>K30-K33</f>
        <v>520256.40625</v>
      </c>
      <c r="L34" s="24">
        <f>L30-L33</f>
        <v>1186118.74609375</v>
      </c>
      <c r="M34" s="25">
        <f>M30-M33</f>
        <v>1288555.7774414062</v>
      </c>
      <c r="O34" s="26">
        <f>O30-O33</f>
        <v>3161662.1797851562</v>
      </c>
      <c r="Q34" s="29">
        <f>Q30-Q33</f>
        <v>2259939.7580053713</v>
      </c>
      <c r="R34" s="24">
        <f>R30-R33</f>
        <v>2379583.8828052366</v>
      </c>
      <c r="S34" s="24">
        <f>S30-S33</f>
        <v>2557834.1482351059</v>
      </c>
      <c r="T34" s="25">
        <f>T30-T33</f>
        <v>2738114.9914042284</v>
      </c>
      <c r="V34" s="26">
        <f>V30-V33</f>
        <v>9935472.7804499418</v>
      </c>
      <c r="X34" s="29">
        <f>X30-X33</f>
        <v>3915805.1134941229</v>
      </c>
      <c r="Y34" s="24">
        <f>Y30-Y33</f>
        <v>5944521.6187817696</v>
      </c>
      <c r="Z34" s="24">
        <f>Z30-Z33</f>
        <v>6228851.1670622258</v>
      </c>
      <c r="AA34" s="25">
        <f>AA30-AA33</f>
        <v>6582987.41351067</v>
      </c>
      <c r="AC34" s="26">
        <f>AC30-AC33</f>
        <v>22672165.312848784</v>
      </c>
      <c r="AE34" s="29">
        <f>AE30-AE33</f>
        <v>7626887.030829153</v>
      </c>
      <c r="AF34" s="24">
        <f>AF30-AF33</f>
        <v>8020623.4827459231</v>
      </c>
      <c r="AG34" s="24">
        <f>AG30-AG33</f>
        <v>8487581.1817241516</v>
      </c>
      <c r="AH34" s="25">
        <f>AH30-AH33</f>
        <v>8889732.1212747972</v>
      </c>
      <c r="AJ34" s="26">
        <f>AJ30-AJ33</f>
        <v>33024823.816574022</v>
      </c>
    </row>
    <row r="35" spans="2:36" x14ac:dyDescent="0.2">
      <c r="B35" s="27" t="s">
        <v>75</v>
      </c>
      <c r="C35" s="28">
        <f>IFERROR(C34/C$10,0%)</f>
        <v>0.01</v>
      </c>
      <c r="D35" s="28">
        <f t="shared" ref="D35:H35" si="33">IFERROR(D34/D$10,0%)</f>
        <v>0.01</v>
      </c>
      <c r="E35" s="28">
        <f t="shared" si="33"/>
        <v>0.04</v>
      </c>
      <c r="F35" s="28">
        <f t="shared" si="33"/>
        <v>0.01</v>
      </c>
      <c r="H35" s="28">
        <f t="shared" si="33"/>
        <v>0.02</v>
      </c>
      <c r="J35" s="28">
        <f>IFERROR(J34/J$10,0%)</f>
        <v>8.5833333333333331E-2</v>
      </c>
      <c r="K35" s="28">
        <f t="shared" ref="K35:M35" si="34">IFERROR(K34/K$10,0%)</f>
        <v>0.21542708333333332</v>
      </c>
      <c r="L35" s="28">
        <f t="shared" si="34"/>
        <v>0.36439900033602152</v>
      </c>
      <c r="M35" s="28">
        <f t="shared" si="34"/>
        <v>0.37187756924715909</v>
      </c>
      <c r="O35" s="28">
        <f t="shared" ref="O35" si="35">IFERROR(O34/O$10,0%)</f>
        <v>0.28541297041617297</v>
      </c>
      <c r="Q35" s="28">
        <f>IFERROR(Q34/Q$10,0%)</f>
        <v>0.48805523334529127</v>
      </c>
      <c r="R35" s="28">
        <f t="shared" ref="R35:T35" si="36">IFERROR(R34/R$10,0%)</f>
        <v>0.49053471094727613</v>
      </c>
      <c r="S35" s="28">
        <f t="shared" si="36"/>
        <v>0.49362361137359112</v>
      </c>
      <c r="T35" s="28">
        <f t="shared" si="36"/>
        <v>0.49671020252230902</v>
      </c>
      <c r="V35" s="28">
        <f t="shared" ref="V35" si="37">IFERROR(V34/V$10,0%)</f>
        <v>0.49244626744730391</v>
      </c>
      <c r="X35" s="28">
        <f>IFERROR(X34/X$10,0%)</f>
        <v>0.47980421071745211</v>
      </c>
      <c r="Y35" s="28">
        <f t="shared" ref="Y35:AA35" si="38">IFERROR(Y34/Y$10,0%)</f>
        <v>0.55816318256379205</v>
      </c>
      <c r="Z35" s="28">
        <f t="shared" si="38"/>
        <v>0.5604912326838557</v>
      </c>
      <c r="AA35" s="28">
        <f t="shared" si="38"/>
        <v>0.56303287509405842</v>
      </c>
      <c r="AC35" s="28">
        <f t="shared" ref="AC35" si="39">IFERROR(AC34/AC$10,0%)</f>
        <v>0.54478633761780049</v>
      </c>
      <c r="AE35" s="28">
        <f>IFERROR(AE34/AE$10,0%)</f>
        <v>0.59194894671898612</v>
      </c>
      <c r="AF35" s="28">
        <f t="shared" ref="AF35:AH35" si="40">IFERROR(AF34/AF$10,0%)</f>
        <v>0.59446727825486079</v>
      </c>
      <c r="AG35" s="28">
        <f t="shared" si="40"/>
        <v>0.60196155544840224</v>
      </c>
      <c r="AH35" s="28">
        <f t="shared" si="40"/>
        <v>0.60443013358757536</v>
      </c>
      <c r="AJ35" s="28">
        <f t="shared" ref="AJ35" si="41">IFERROR(AJ34/AJ$10,0%)</f>
        <v>0.598449433556417</v>
      </c>
    </row>
    <row r="37" spans="2:36" x14ac:dyDescent="0.2">
      <c r="B37" s="5" t="s">
        <v>84</v>
      </c>
      <c r="C37" s="7">
        <f>'P&amp;L Assumption Sheet'!C69</f>
        <v>0</v>
      </c>
      <c r="D37" s="7">
        <f>'P&amp;L Assumption Sheet'!D69</f>
        <v>0</v>
      </c>
      <c r="E37" s="7">
        <f>'P&amp;L Assumption Sheet'!E69</f>
        <v>0</v>
      </c>
      <c r="F37" s="7">
        <f>'P&amp;L Assumption Sheet'!F69</f>
        <v>0</v>
      </c>
      <c r="H37" s="7">
        <f>SUM(C37:F37)</f>
        <v>0</v>
      </c>
      <c r="J37" s="7">
        <f>'P&amp;L Assumption Sheet'!J69</f>
        <v>0</v>
      </c>
      <c r="K37" s="7">
        <f>'P&amp;L Assumption Sheet'!K69</f>
        <v>0</v>
      </c>
      <c r="L37" s="7">
        <f>'P&amp;L Assumption Sheet'!L69</f>
        <v>0</v>
      </c>
      <c r="M37" s="7">
        <f>'P&amp;L Assumption Sheet'!M69</f>
        <v>0</v>
      </c>
      <c r="O37" s="7">
        <f>SUM(J37:M37)</f>
        <v>0</v>
      </c>
      <c r="Q37" s="7">
        <f>'P&amp;L Assumption Sheet'!Q69</f>
        <v>0</v>
      </c>
      <c r="R37" s="7">
        <f>'P&amp;L Assumption Sheet'!R69</f>
        <v>0</v>
      </c>
      <c r="S37" s="7">
        <f>'P&amp;L Assumption Sheet'!S69</f>
        <v>0</v>
      </c>
      <c r="T37" s="7">
        <f>'P&amp;L Assumption Sheet'!T69</f>
        <v>0</v>
      </c>
      <c r="V37" s="7">
        <f>SUM(Q37:T37)</f>
        <v>0</v>
      </c>
      <c r="X37" s="7">
        <f>'P&amp;L Assumption Sheet'!X69</f>
        <v>0</v>
      </c>
      <c r="Y37" s="7">
        <f>'P&amp;L Assumption Sheet'!Y69</f>
        <v>0</v>
      </c>
      <c r="Z37" s="7">
        <f>'P&amp;L Assumption Sheet'!Z69</f>
        <v>0</v>
      </c>
      <c r="AA37" s="7">
        <f>'P&amp;L Assumption Sheet'!AA69</f>
        <v>0</v>
      </c>
      <c r="AC37" s="7">
        <f>SUM(X37:AA37)</f>
        <v>0</v>
      </c>
      <c r="AE37" s="7">
        <f>'P&amp;L Assumption Sheet'!AE69</f>
        <v>0</v>
      </c>
      <c r="AF37" s="7">
        <f>'P&amp;L Assumption Sheet'!AF69</f>
        <v>0</v>
      </c>
      <c r="AG37" s="7">
        <f>'P&amp;L Assumption Sheet'!AG69</f>
        <v>0</v>
      </c>
      <c r="AH37" s="7">
        <f>'P&amp;L Assumption Sheet'!AH69</f>
        <v>0</v>
      </c>
      <c r="AJ37" s="7">
        <f>SUM(AE37:AH37)</f>
        <v>0</v>
      </c>
    </row>
    <row r="38" spans="2:36" x14ac:dyDescent="0.2">
      <c r="B38" s="5" t="s">
        <v>83</v>
      </c>
      <c r="C38" s="7">
        <f>'P&amp;L Assumption Sheet'!C70</f>
        <v>0</v>
      </c>
      <c r="D38" s="7">
        <f>'P&amp;L Assumption Sheet'!D70</f>
        <v>0</v>
      </c>
      <c r="E38" s="7">
        <f>'P&amp;L Assumption Sheet'!E70</f>
        <v>0</v>
      </c>
      <c r="F38" s="7">
        <f>'P&amp;L Assumption Sheet'!F70</f>
        <v>0</v>
      </c>
      <c r="H38" s="7">
        <f>SUM(C38:F38)</f>
        <v>0</v>
      </c>
      <c r="J38" s="7">
        <f>'P&amp;L Assumption Sheet'!J70</f>
        <v>18151.140271699453</v>
      </c>
      <c r="K38" s="7">
        <f>'P&amp;L Assumption Sheet'!K70</f>
        <v>36004.633093641307</v>
      </c>
      <c r="L38" s="7">
        <f>'P&amp;L Assumption Sheet'!L70</f>
        <v>53565.359371543964</v>
      </c>
      <c r="M38" s="7">
        <f>'P&amp;L Assumption Sheet'!M70</f>
        <v>88989.260244374862</v>
      </c>
      <c r="O38" s="7">
        <f>SUM(J38:M38)</f>
        <v>196710.39298125959</v>
      </c>
      <c r="Q38" s="7">
        <f>'P&amp;L Assumption Sheet'!Q70</f>
        <v>122017.15610481749</v>
      </c>
      <c r="R38" s="7">
        <f>'P&amp;L Assumption Sheet'!R70</f>
        <v>154503.45133705891</v>
      </c>
      <c r="S38" s="7">
        <f>'P&amp;L Assumption Sheet'!S70</f>
        <v>203700.61051704595</v>
      </c>
      <c r="T38" s="7">
        <f>'P&amp;L Assumption Sheet'!T70</f>
        <v>252091.0209889051</v>
      </c>
      <c r="V38" s="7">
        <f>SUM(Q38:T38)</f>
        <v>732312.23894782749</v>
      </c>
      <c r="X38" s="7">
        <f>'P&amp;L Assumption Sheet'!X70</f>
        <v>297101.37455375859</v>
      </c>
      <c r="Y38" s="7">
        <f>'P&amp;L Assumption Sheet'!Y70</f>
        <v>357755.03990938544</v>
      </c>
      <c r="Z38" s="7">
        <f>'P&amp;L Assumption Sheet'!Z70</f>
        <v>417414.08958019508</v>
      </c>
      <c r="AA38" s="7">
        <f>'P&amp;L Assumption Sheet'!AA70</f>
        <v>492476.23764620372</v>
      </c>
      <c r="AC38" s="7">
        <f>SUM(X38:AA38)</f>
        <v>1564746.7416895428</v>
      </c>
      <c r="AE38" s="7">
        <f>'P&amp;L Assumption Sheet'!AE70</f>
        <v>562212.14469413203</v>
      </c>
      <c r="AF38" s="7">
        <f>'P&amp;L Assumption Sheet'!AF70</f>
        <v>630804.50293032499</v>
      </c>
      <c r="AG38" s="7">
        <f>'P&amp;L Assumption Sheet'!AG70</f>
        <v>698272.06458645407</v>
      </c>
      <c r="AH38" s="7">
        <f>'P&amp;L Assumption Sheet'!AH70</f>
        <v>764633.27438987792</v>
      </c>
      <c r="AJ38" s="7">
        <f>SUM(AE38:AH38)</f>
        <v>2655921.9866007892</v>
      </c>
    </row>
    <row r="39" spans="2:36" x14ac:dyDescent="0.2">
      <c r="B39" s="23" t="s">
        <v>85</v>
      </c>
      <c r="C39" s="24">
        <f>C34+C37-C38</f>
        <v>3500</v>
      </c>
      <c r="D39" s="24">
        <f>D34+D37-D38</f>
        <v>3500</v>
      </c>
      <c r="E39" s="24">
        <f>E34+E37-E38</f>
        <v>28000</v>
      </c>
      <c r="F39" s="25">
        <f>F34+F37-F38</f>
        <v>7000</v>
      </c>
      <c r="H39" s="26">
        <f>H34+H37-H38</f>
        <v>42000</v>
      </c>
      <c r="J39" s="29">
        <f>J34+J37-J38</f>
        <v>148580.10972830054</v>
      </c>
      <c r="K39" s="24">
        <f>K34+K37-K38</f>
        <v>484251.77315635869</v>
      </c>
      <c r="L39" s="24">
        <f>L34+L37-L38</f>
        <v>1132553.3867222061</v>
      </c>
      <c r="M39" s="25">
        <f>M34+M37-M38</f>
        <v>1199566.5171970313</v>
      </c>
      <c r="O39" s="26">
        <f>O34+O37-O38</f>
        <v>2964951.7868038965</v>
      </c>
      <c r="Q39" s="29">
        <f>Q34+Q37-Q38</f>
        <v>2137922.6019005538</v>
      </c>
      <c r="R39" s="24">
        <f>R34+R37-R38</f>
        <v>2225080.4314681776</v>
      </c>
      <c r="S39" s="24">
        <f>S34+S37-S38</f>
        <v>2354133.53771806</v>
      </c>
      <c r="T39" s="25">
        <f>T34+T37-T38</f>
        <v>2486023.970415323</v>
      </c>
      <c r="V39" s="26">
        <f>V34+V37-V38</f>
        <v>9203160.5415021144</v>
      </c>
      <c r="X39" s="29">
        <f>X34+X37-X38</f>
        <v>3618703.7389403642</v>
      </c>
      <c r="Y39" s="24">
        <f>Y34+Y37-Y38</f>
        <v>5586766.5788723845</v>
      </c>
      <c r="Z39" s="24">
        <f>Z34+Z37-Z38</f>
        <v>5811437.0774820307</v>
      </c>
      <c r="AA39" s="25">
        <f>AA34+AA37-AA38</f>
        <v>6090511.1758644665</v>
      </c>
      <c r="AC39" s="26">
        <f>AC34+AC37-AC38</f>
        <v>21107418.57115924</v>
      </c>
      <c r="AE39" s="29">
        <f>AE34+AE37-AE38</f>
        <v>7064674.8861350212</v>
      </c>
      <c r="AF39" s="24">
        <f>AF34+AF37-AF38</f>
        <v>7389818.9798155986</v>
      </c>
      <c r="AG39" s="24">
        <f>AG34+AG37-AG38</f>
        <v>7789309.1171376975</v>
      </c>
      <c r="AH39" s="25">
        <f>AH34+AH37-AH38</f>
        <v>8125098.8468849193</v>
      </c>
      <c r="AJ39" s="26">
        <f>AJ34+AJ37-AJ38</f>
        <v>30368901.829973232</v>
      </c>
    </row>
    <row r="40" spans="2:36" x14ac:dyDescent="0.2">
      <c r="B40" s="27" t="s">
        <v>86</v>
      </c>
      <c r="C40" s="28">
        <f>IFERROR(C39/C$10,0%)</f>
        <v>0.01</v>
      </c>
      <c r="D40" s="28">
        <f t="shared" ref="D40:F40" si="42">IFERROR(D39/D$10,0%)</f>
        <v>0.01</v>
      </c>
      <c r="E40" s="28">
        <f t="shared" si="42"/>
        <v>0.04</v>
      </c>
      <c r="F40" s="28">
        <f t="shared" si="42"/>
        <v>0.01</v>
      </c>
      <c r="H40" s="28">
        <f t="shared" ref="H40" si="43">IFERROR(H39/H$10,0%)</f>
        <v>0.02</v>
      </c>
      <c r="J40" s="28">
        <f>IFERROR(J39/J$10,0%)</f>
        <v>7.6489116977246099E-2</v>
      </c>
      <c r="K40" s="28">
        <f t="shared" ref="K40:M40" si="44">IFERROR(K39/K$10,0%)</f>
        <v>0.20051833256992077</v>
      </c>
      <c r="L40" s="28">
        <f t="shared" si="44"/>
        <v>0.34794266873186058</v>
      </c>
      <c r="M40" s="28">
        <f t="shared" si="44"/>
        <v>0.34619524305830629</v>
      </c>
      <c r="O40" s="28">
        <f t="shared" ref="O40" si="45">IFERROR(O39/O$10,0%)</f>
        <v>0.26765531814975368</v>
      </c>
      <c r="Q40" s="28">
        <f>IFERROR(Q39/Q$10,0%)</f>
        <v>0.46170448156798483</v>
      </c>
      <c r="R40" s="28">
        <f t="shared" ref="R40:T40" si="46">IFERROR(R39/R$10,0%)</f>
        <v>0.45868489620040764</v>
      </c>
      <c r="S40" s="28">
        <f t="shared" si="46"/>
        <v>0.45431244998659909</v>
      </c>
      <c r="T40" s="28">
        <f t="shared" si="46"/>
        <v>0.45097940506400419</v>
      </c>
      <c r="V40" s="28">
        <f t="shared" ref="V40" si="47">IFERROR(V39/V$10,0%)</f>
        <v>0.45614961235652279</v>
      </c>
      <c r="X40" s="28">
        <f>IFERROR(X39/X$10,0%)</f>
        <v>0.44340033299902382</v>
      </c>
      <c r="Y40" s="28">
        <f t="shared" ref="Y40:AA40" si="48">IFERROR(Y39/Y$10,0%)</f>
        <v>0.52457163315750333</v>
      </c>
      <c r="Z40" s="28">
        <f t="shared" si="48"/>
        <v>0.522931025940506</v>
      </c>
      <c r="AA40" s="28">
        <f t="shared" si="48"/>
        <v>0.52091213346414622</v>
      </c>
      <c r="AC40" s="28">
        <f t="shared" ref="AC40" si="49">IFERROR(AC39/AC$10,0%)</f>
        <v>0.50718725367757655</v>
      </c>
      <c r="AE40" s="28">
        <f>IFERROR(AE39/AE$10,0%)</f>
        <v>0.5483137275871075</v>
      </c>
      <c r="AF40" s="28">
        <f t="shared" ref="AF40:AH40" si="50">IFERROR(AF39/AF$10,0%)</f>
        <v>0.54771372639264082</v>
      </c>
      <c r="AG40" s="28">
        <f t="shared" si="50"/>
        <v>0.55243826617139247</v>
      </c>
      <c r="AH40" s="28">
        <f t="shared" si="50"/>
        <v>0.55244123382321397</v>
      </c>
      <c r="AJ40" s="28">
        <f t="shared" ref="AJ40" si="51">IFERROR(AJ39/AJ$10,0%)</f>
        <v>0.55032094035750423</v>
      </c>
    </row>
    <row r="42" spans="2:36" x14ac:dyDescent="0.2">
      <c r="B42" s="5" t="s">
        <v>116</v>
      </c>
      <c r="C42" s="7">
        <f>'P&amp;L Assumption Sheet'!C75</f>
        <v>875</v>
      </c>
      <c r="D42" s="7">
        <f>'P&amp;L Assumption Sheet'!D75</f>
        <v>875</v>
      </c>
      <c r="E42" s="7">
        <f>'P&amp;L Assumption Sheet'!E75</f>
        <v>7000</v>
      </c>
      <c r="F42" s="7">
        <f>'P&amp;L Assumption Sheet'!F75</f>
        <v>1750</v>
      </c>
      <c r="H42" s="7">
        <f>SUM(C42:F42)</f>
        <v>10500</v>
      </c>
      <c r="J42" s="7">
        <f>'P&amp;L Assumption Sheet'!J75</f>
        <v>37145.027432075134</v>
      </c>
      <c r="K42" s="7">
        <f>'P&amp;L Assumption Sheet'!K75</f>
        <v>121062.94328908967</v>
      </c>
      <c r="L42" s="7">
        <f>'P&amp;L Assumption Sheet'!L75</f>
        <v>283138.34668055153</v>
      </c>
      <c r="M42" s="7">
        <f>'P&amp;L Assumption Sheet'!M75</f>
        <v>299891.62929925782</v>
      </c>
      <c r="O42" s="7">
        <f>SUM(J42:M42)</f>
        <v>741237.94670097413</v>
      </c>
      <c r="Q42" s="7">
        <f>'P&amp;L Assumption Sheet'!Q75</f>
        <v>534480.65047513845</v>
      </c>
      <c r="R42" s="7">
        <f>'P&amp;L Assumption Sheet'!R75</f>
        <v>556270.1078670444</v>
      </c>
      <c r="S42" s="7">
        <f>'P&amp;L Assumption Sheet'!S75</f>
        <v>588533.38442951499</v>
      </c>
      <c r="T42" s="7">
        <f>'P&amp;L Assumption Sheet'!T75</f>
        <v>621505.99260383076</v>
      </c>
      <c r="V42" s="7">
        <f>SUM(Q42:T42)</f>
        <v>2300790.1353755286</v>
      </c>
      <c r="X42" s="7">
        <f>'P&amp;L Assumption Sheet'!X75</f>
        <v>904675.93473509105</v>
      </c>
      <c r="Y42" s="7">
        <f>'P&amp;L Assumption Sheet'!Y75</f>
        <v>1396691.6447180961</v>
      </c>
      <c r="Z42" s="7">
        <f>'P&amp;L Assumption Sheet'!Z75</f>
        <v>1452859.2693705077</v>
      </c>
      <c r="AA42" s="7">
        <f>'P&amp;L Assumption Sheet'!AA75</f>
        <v>1522627.7939661166</v>
      </c>
      <c r="AC42" s="7">
        <f>SUM(X42:AA42)</f>
        <v>5276854.6427898109</v>
      </c>
      <c r="AE42" s="7">
        <f>'P&amp;L Assumption Sheet'!AE75</f>
        <v>1766168.7215337553</v>
      </c>
      <c r="AF42" s="7">
        <f>'P&amp;L Assumption Sheet'!AF75</f>
        <v>1847454.7449538996</v>
      </c>
      <c r="AG42" s="7">
        <f>'P&amp;L Assumption Sheet'!AG75</f>
        <v>1947327.2792844244</v>
      </c>
      <c r="AH42" s="7">
        <f>'P&amp;L Assumption Sheet'!AH75</f>
        <v>2031274.7117212298</v>
      </c>
      <c r="AJ42" s="7">
        <f>SUM(AE42:AH42)</f>
        <v>7592225.4574933089</v>
      </c>
    </row>
    <row r="43" spans="2:36" x14ac:dyDescent="0.2">
      <c r="B43" s="23" t="s">
        <v>117</v>
      </c>
      <c r="C43" s="24">
        <f>C39-C42</f>
        <v>2625</v>
      </c>
      <c r="D43" s="24">
        <f t="shared" ref="D43:H43" si="52">D39-D42</f>
        <v>2625</v>
      </c>
      <c r="E43" s="24">
        <f t="shared" si="52"/>
        <v>21000</v>
      </c>
      <c r="F43" s="25">
        <f t="shared" si="52"/>
        <v>5250</v>
      </c>
      <c r="H43" s="26">
        <f t="shared" si="52"/>
        <v>31500</v>
      </c>
      <c r="J43" s="29">
        <f>J39-J42</f>
        <v>111435.0822962254</v>
      </c>
      <c r="K43" s="24">
        <f t="shared" ref="K43:M43" si="53">K39-K42</f>
        <v>363188.82986726903</v>
      </c>
      <c r="L43" s="24">
        <f t="shared" si="53"/>
        <v>849415.0400416546</v>
      </c>
      <c r="M43" s="25">
        <f t="shared" si="53"/>
        <v>899674.88789777341</v>
      </c>
      <c r="O43" s="26">
        <f t="shared" ref="O43" si="54">O39-O42</f>
        <v>2223713.8401029222</v>
      </c>
      <c r="Q43" s="29">
        <f>Q39-Q42</f>
        <v>1603441.9514254155</v>
      </c>
      <c r="R43" s="24">
        <f t="shared" ref="R43:T43" si="55">R39-R42</f>
        <v>1668810.3236011332</v>
      </c>
      <c r="S43" s="24">
        <f t="shared" si="55"/>
        <v>1765600.1532885451</v>
      </c>
      <c r="T43" s="25">
        <f t="shared" si="55"/>
        <v>1864517.9778114923</v>
      </c>
      <c r="V43" s="26">
        <f t="shared" ref="V43" si="56">V39-V42</f>
        <v>6902370.4061265858</v>
      </c>
      <c r="X43" s="29">
        <f>X39-X42</f>
        <v>2714027.8042052733</v>
      </c>
      <c r="Y43" s="24">
        <f t="shared" ref="Y43:AA43" si="57">Y39-Y42</f>
        <v>4190074.9341542884</v>
      </c>
      <c r="Z43" s="24">
        <f t="shared" si="57"/>
        <v>4358577.8081115233</v>
      </c>
      <c r="AA43" s="25">
        <f t="shared" si="57"/>
        <v>4567883.3818983501</v>
      </c>
      <c r="AC43" s="26">
        <f t="shared" ref="AC43" si="58">AC39-AC42</f>
        <v>15830563.928369429</v>
      </c>
      <c r="AE43" s="29">
        <f>AE39-AE42</f>
        <v>5298506.1646012664</v>
      </c>
      <c r="AF43" s="24">
        <f t="shared" ref="AF43:AH43" si="59">AF39-AF42</f>
        <v>5542364.2348616989</v>
      </c>
      <c r="AG43" s="24">
        <f t="shared" si="59"/>
        <v>5841981.8378532734</v>
      </c>
      <c r="AH43" s="25">
        <f t="shared" si="59"/>
        <v>6093824.135163689</v>
      </c>
      <c r="AJ43" s="26">
        <f t="shared" ref="AJ43" si="60">AJ39-AJ42</f>
        <v>22776676.372479923</v>
      </c>
    </row>
    <row r="44" spans="2:36" x14ac:dyDescent="0.2">
      <c r="B44" s="27" t="s">
        <v>117</v>
      </c>
      <c r="C44" s="28">
        <f>IFERROR(C43/C$10,0%)</f>
        <v>7.4999999999999997E-3</v>
      </c>
      <c r="D44" s="28">
        <f t="shared" ref="D44:F44" si="61">IFERROR(D43/D$10,0%)</f>
        <v>7.4999999999999997E-3</v>
      </c>
      <c r="E44" s="28">
        <f t="shared" si="61"/>
        <v>0.03</v>
      </c>
      <c r="F44" s="28">
        <f t="shared" si="61"/>
        <v>7.4999999999999997E-3</v>
      </c>
      <c r="H44" s="28">
        <f t="shared" ref="H44" si="62">IFERROR(H43/H$10,0%)</f>
        <v>1.4999999999999999E-2</v>
      </c>
      <c r="J44" s="28">
        <f>IFERROR(J43/J$10,0%)</f>
        <v>5.7366837732934571E-2</v>
      </c>
      <c r="K44" s="28">
        <f t="shared" ref="K44:M44" si="63">IFERROR(K43/K$10,0%)</f>
        <v>0.1503887494274406</v>
      </c>
      <c r="L44" s="28">
        <f t="shared" si="63"/>
        <v>0.26095700154889545</v>
      </c>
      <c r="M44" s="28">
        <f t="shared" si="63"/>
        <v>0.25964643229372969</v>
      </c>
      <c r="O44" s="28">
        <f t="shared" ref="O44" si="64">IFERROR(O43/O$10,0%)</f>
        <v>0.20074148861231525</v>
      </c>
      <c r="Q44" s="28">
        <f>IFERROR(Q43/Q$10,0%)</f>
        <v>0.34627836117598865</v>
      </c>
      <c r="R44" s="28">
        <f t="shared" ref="R44:T44" si="65">IFERROR(R43/R$10,0%)</f>
        <v>0.34401367215030576</v>
      </c>
      <c r="S44" s="28">
        <f t="shared" si="65"/>
        <v>0.34073433748994936</v>
      </c>
      <c r="T44" s="28">
        <f t="shared" si="65"/>
        <v>0.33823455379800316</v>
      </c>
      <c r="V44" s="28">
        <f t="shared" ref="V44" si="66">IFERROR(V43/V$10,0%)</f>
        <v>0.34211220926739211</v>
      </c>
      <c r="X44" s="28">
        <f>IFERROR(X43/X$10,0%)</f>
        <v>0.33255024974926789</v>
      </c>
      <c r="Y44" s="28">
        <f t="shared" ref="Y44:AA44" si="67">IFERROR(Y43/Y$10,0%)</f>
        <v>0.39342872486812752</v>
      </c>
      <c r="Z44" s="28">
        <f t="shared" si="67"/>
        <v>0.3921982694553795</v>
      </c>
      <c r="AA44" s="28">
        <f t="shared" si="67"/>
        <v>0.39068410009810972</v>
      </c>
      <c r="AC44" s="28">
        <f t="shared" ref="AC44" si="68">IFERROR(AC43/AC$10,0%)</f>
        <v>0.38039044025818242</v>
      </c>
      <c r="AE44" s="28">
        <f>IFERROR(AE43/AE$10,0%)</f>
        <v>0.41123529569033063</v>
      </c>
      <c r="AF44" s="28">
        <f t="shared" ref="AF44:AH44" si="69">IFERROR(AF43/AF$10,0%)</f>
        <v>0.41078529479448067</v>
      </c>
      <c r="AG44" s="28">
        <f t="shared" si="69"/>
        <v>0.41432869962854441</v>
      </c>
      <c r="AH44" s="28">
        <f t="shared" si="69"/>
        <v>0.41433092536741051</v>
      </c>
      <c r="AJ44" s="28">
        <f t="shared" ref="AJ44" si="70">IFERROR(AJ43/AJ$10,0%)</f>
        <v>0.41274070526812817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67ff29-db46-4758-9c5d-ac995e43761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9522E9FCC0A84EAAD2623E703A338B" ma:contentTypeVersion="12" ma:contentTypeDescription="Create a new document." ma:contentTypeScope="" ma:versionID="256f4a324fd3724c710c627985e778f7">
  <xsd:schema xmlns:xsd="http://www.w3.org/2001/XMLSchema" xmlns:xs="http://www.w3.org/2001/XMLSchema" xmlns:p="http://schemas.microsoft.com/office/2006/metadata/properties" xmlns:ns2="6167ff29-db46-4758-9c5d-ac995e43761f" targetNamespace="http://schemas.microsoft.com/office/2006/metadata/properties" ma:root="true" ma:fieldsID="fde187b354d0a0868dae3ee50c6bfb9f" ns2:_="">
    <xsd:import namespace="6167ff29-db46-4758-9c5d-ac995e4376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67ff29-db46-4758-9c5d-ac995e4376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c79311c-efa1-4a67-a2f3-82f49e2089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D3C512-E9FC-4ECD-9471-7C459A5D1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FEBF71-3809-4AE9-98FC-803504871DB0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6167ff29-db46-4758-9c5d-ac995e43761f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F9EE863-52EB-4909-8A8E-6496CF9D5B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67ff29-db46-4758-9c5d-ac995e4376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Assumption Sheets &gt;&gt;</vt:lpstr>
      <vt:lpstr>Assumption Sheet</vt:lpstr>
      <vt:lpstr>P&amp;L Assumption Sheet</vt:lpstr>
      <vt:lpstr>Working Capital Assumptions</vt:lpstr>
      <vt:lpstr>Fixed Asset Schedule</vt:lpstr>
      <vt:lpstr>Capital Deployment &amp; Debt Repay</vt:lpstr>
      <vt:lpstr>DCF</vt:lpstr>
      <vt:lpstr>Finanical Statements &gt;&gt;</vt:lpstr>
      <vt:lpstr>Income Statement</vt:lpstr>
      <vt:lpstr>Cashflow Statement</vt:lpstr>
      <vt:lpstr>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 Singh Talwar</dc:creator>
  <cp:lastModifiedBy>Oliver Barnes | OKA</cp:lastModifiedBy>
  <dcterms:created xsi:type="dcterms:W3CDTF">2025-02-24T03:31:04Z</dcterms:created>
  <dcterms:modified xsi:type="dcterms:W3CDTF">2026-02-13T01:28:42Z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0x010100DD9522E9FCC0A84EAAD2623E703A338B</vt:lpwstr>
  </property>
  <property fmtid="{D5CDD505-2E9C-101B-9397-08002B2CF9AE}" pid="3" name="MediaServiceImageTags">
    <vt:lpwstr/>
  </property>
</Properties>
</file>