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manurrg/Library/Mobile Documents/com~apple~CloudDocs/2026 Work Search/Diagram/"/>
    </mc:Choice>
  </mc:AlternateContent>
  <xr:revisionPtr revIDLastSave="0" documentId="13_ncr:1_{942CFFF6-D368-9C46-B17B-238E95171C0B}" xr6:coauthVersionLast="47" xr6:coauthVersionMax="47" xr10:uidLastSave="{00000000-0000-0000-0000-000000000000}"/>
  <bookViews>
    <workbookView xWindow="0" yWindow="760" windowWidth="30240" windowHeight="18880" tabRatio="500" xr2:uid="{00000000-000D-0000-FFFF-FFFF00000000}"/>
  </bookViews>
  <sheets>
    <sheet name="README" sheetId="1" r:id="rId1"/>
    <sheet name="Assumptions" sheetId="2" r:id="rId2"/>
    <sheet name="Build" sheetId="3" r:id="rId3"/>
    <sheet name="Summary" sheetId="4" r:id="rId4"/>
    <sheet name="Reconciliation" sheetId="5" r:id="rId5"/>
    <sheet name="Sources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9" i="4" l="1"/>
  <c r="C14" i="5"/>
  <c r="C13" i="5"/>
  <c r="D10" i="5"/>
  <c r="C10" i="5"/>
  <c r="B10" i="5"/>
  <c r="D7" i="5"/>
  <c r="C7" i="5"/>
  <c r="B7" i="5"/>
  <c r="D5" i="5"/>
  <c r="C5" i="5"/>
  <c r="B5" i="5"/>
  <c r="D5" i="4"/>
  <c r="C5" i="4"/>
  <c r="B5" i="4"/>
  <c r="E47" i="3"/>
  <c r="E46" i="3"/>
  <c r="D46" i="3"/>
  <c r="D47" i="3" s="1"/>
  <c r="C46" i="3"/>
  <c r="E45" i="3"/>
  <c r="D45" i="3"/>
  <c r="C45" i="3"/>
  <c r="E44" i="3"/>
  <c r="D44" i="3"/>
  <c r="C44" i="3"/>
  <c r="E43" i="3"/>
  <c r="D43" i="3"/>
  <c r="C43" i="3"/>
  <c r="C47" i="3" s="1"/>
  <c r="E42" i="3"/>
  <c r="D42" i="3"/>
  <c r="C42" i="3"/>
  <c r="E38" i="3"/>
  <c r="D38" i="3"/>
  <c r="D39" i="3" s="1"/>
  <c r="B20" i="4" s="1"/>
  <c r="C38" i="3"/>
  <c r="C39" i="3" s="1"/>
  <c r="E37" i="3"/>
  <c r="E39" i="3" s="1"/>
  <c r="D37" i="3"/>
  <c r="C37" i="3"/>
  <c r="E34" i="3"/>
  <c r="D34" i="3"/>
  <c r="B19" i="4" s="1"/>
  <c r="C34" i="3"/>
  <c r="C31" i="3"/>
  <c r="E30" i="3"/>
  <c r="E31" i="3" s="1"/>
  <c r="D30" i="3"/>
  <c r="D31" i="3" s="1"/>
  <c r="B18" i="4" s="1"/>
  <c r="C30" i="3"/>
  <c r="E29" i="3"/>
  <c r="D29" i="3"/>
  <c r="C29" i="3"/>
  <c r="E25" i="3"/>
  <c r="E26" i="3" s="1"/>
  <c r="D25" i="3"/>
  <c r="D26" i="3" s="1"/>
  <c r="C25" i="3"/>
  <c r="C26" i="3" s="1"/>
  <c r="E21" i="3"/>
  <c r="D21" i="3"/>
  <c r="C21" i="3"/>
  <c r="E20" i="3"/>
  <c r="E22" i="3" s="1"/>
  <c r="D20" i="3"/>
  <c r="D22" i="3" s="1"/>
  <c r="B16" i="4" s="1"/>
  <c r="C20" i="3"/>
  <c r="C22" i="3" s="1"/>
  <c r="E17" i="3"/>
  <c r="E16" i="3"/>
  <c r="D16" i="3"/>
  <c r="C16" i="3"/>
  <c r="E15" i="3"/>
  <c r="D15" i="3"/>
  <c r="D17" i="3" s="1"/>
  <c r="C15" i="3"/>
  <c r="C17" i="3" s="1"/>
  <c r="E12" i="3"/>
  <c r="D12" i="3"/>
  <c r="B14" i="4" s="1"/>
  <c r="C12" i="3"/>
  <c r="E8" i="3"/>
  <c r="E9" i="3" s="1"/>
  <c r="D8" i="3"/>
  <c r="D9" i="3" s="1"/>
  <c r="C8" i="3"/>
  <c r="C9" i="3" s="1"/>
  <c r="E7" i="3"/>
  <c r="D7" i="3"/>
  <c r="C15" i="5" s="1"/>
  <c r="C7" i="3"/>
  <c r="E50" i="3" l="1"/>
  <c r="D6" i="4" s="1"/>
  <c r="D8" i="4" s="1"/>
  <c r="D7" i="4"/>
  <c r="C50" i="3"/>
  <c r="B6" i="4" s="1"/>
  <c r="B8" i="4" s="1"/>
  <c r="B28" i="4"/>
  <c r="B17" i="4"/>
  <c r="B25" i="4"/>
  <c r="B13" i="4"/>
  <c r="D50" i="3"/>
  <c r="C6" i="4" s="1"/>
  <c r="B21" i="4"/>
  <c r="B27" i="4"/>
  <c r="B15" i="4"/>
  <c r="B26" i="4"/>
  <c r="C16" i="5"/>
  <c r="C17" i="5" s="1"/>
  <c r="C17" i="4" l="1"/>
  <c r="C28" i="4"/>
  <c r="C27" i="4"/>
  <c r="C20" i="4"/>
  <c r="C15" i="4"/>
  <c r="C8" i="4"/>
  <c r="C21" i="4"/>
  <c r="C26" i="4"/>
  <c r="C19" i="4"/>
  <c r="C14" i="4"/>
  <c r="C7" i="4"/>
  <c r="C25" i="4"/>
  <c r="C18" i="4"/>
  <c r="C13" i="4"/>
  <c r="C16" i="4"/>
  <c r="B22" i="4"/>
  <c r="D9" i="4"/>
  <c r="D6" i="5"/>
  <c r="D8" i="5" s="1"/>
  <c r="D9" i="5" s="1"/>
  <c r="B7" i="4"/>
  <c r="B9" i="4" l="1"/>
  <c r="B6" i="5"/>
  <c r="B8" i="5" s="1"/>
  <c r="B9" i="5" s="1"/>
  <c r="C22" i="4"/>
  <c r="C9" i="4"/>
  <c r="C6" i="5"/>
  <c r="C8" i="5" s="1"/>
  <c r="C9" i="5" s="1"/>
</calcChain>
</file>

<file path=xl/sharedStrings.xml><?xml version="1.0" encoding="utf-8"?>
<sst xmlns="http://schemas.openxmlformats.org/spreadsheetml/2006/main" count="444" uniqueCount="313">
  <si>
    <t>US ELECTRICITY DEMAND 2025 → 2040 — BOTTOM-UP MODEL</t>
  </si>
  <si>
    <t>Nine demand blocks. Every figure outside the Assumptions tab is a live formula.</t>
  </si>
  <si>
    <t>HOW TO USE THIS</t>
  </si>
  <si>
    <t>1. Go to the Assumptions tab. Edit the YELLOW cells only — those are the inputs.</t>
  </si>
  <si>
    <t>2. Each input has Low / Central / High values. Change any one and every other tab recalculates.</t>
  </si>
  <si>
    <t>3. Summary shows the 2040 answer and the attribution. Reconciliation cross-checks it against utility peak forecasts.</t>
  </si>
  <si>
    <t>4. Sources tells you which inputs are published and which are guesses. Read this before quoting any number.</t>
  </si>
  <si>
    <t>COLOUR CONVENTION</t>
  </si>
  <si>
    <t>BLUE text on YELLOW fill = a hardcoded input. Edit these.</t>
  </si>
  <si>
    <t>GREEN text = a formula pulling from another tab. Do not overwrite.</t>
  </si>
  <si>
    <t>BLACK text = a formula calculated on this tab. Do not overwrite.</t>
  </si>
  <si>
    <t>ORANGE / peach fill = something that needs your attention: an unsourced input, or a failed cross-check.</t>
  </si>
  <si>
    <t>THE METHOD</t>
  </si>
  <si>
    <t>Each block is built as:   Δ stock  ×  service per unit  ÷  efficiency</t>
  </si>
  <si>
    <t>Units cancel to kWh per year. Example — light-duty EVs: 64M vehicles × 12,000 miles ÷ 3.4 mi/kWh = 226 TWh.</t>
  </si>
  <si>
    <t>Divide by efficiency, never multiply: a MORE efficient device must use LESS energy. If improving the number raises energy, the operation is inverted.</t>
  </si>
  <si>
    <t>'Net of efficiency' means the block reports growth MINUS the efficiency savings happening inside that same block — not a gross figure with savings lumped elsewhere.</t>
  </si>
  <si>
    <t>WHAT THIS MODEL IS HONEST ABOUT</t>
  </si>
  <si>
    <t>Blocks 1 and 9 are ~70% of the growth. Block 1 is well-sourced only through 2030; roughly half its contribution rests on an extrapolation.</t>
  </si>
  <si>
    <t>Block 9 (Industrial, +250 TWh) has NO published source at all. It is the second-largest block and the least defensible. Fix this first.</t>
  </si>
  <si>
    <t>The blocks that ARE well-sourced (households, EV intensity, current data centre levels) contribute under 20% combined.</t>
  </si>
  <si>
    <t>A nine-row table looks like bottom-up rigour. Six of those rows are judgment dressed as arithmetic. Anyone who probes one will find it.</t>
  </si>
  <si>
    <t>KNOWN LIMITATIONS</t>
  </si>
  <si>
    <t>Efficiency drag is applied to the 2025 base, not to the growing stock. This slightly overstates the net figure in blocks 6 and 8.</t>
  </si>
  <si>
    <t>Homes converted in block 5 also sit inside block 6's base, so their efficiency savings are marginally double-counted. Immaterial at this scale, but state it.</t>
  </si>
  <si>
    <t>The 2025 base should be weather-normalised before use. 2025 was a hot summer.</t>
  </si>
  <si>
    <t>EIA's own two published growth rates (0.9–1.6%/yr in AEO2026 vs ~2%/yr on its Use of Electricity page) disagree. A component build cannot reach 0.9% unless data centres stall after 2030.</t>
  </si>
  <si>
    <t>ASSUMPTIONS — every input the model uses</t>
  </si>
  <si>
    <t>Blue cells are inputs; edit these. Tier 1 = published figure. Tier 2 = arithmetic on a published figure. Tier 3 = estimate with no published source — treat with caution.</t>
  </si>
  <si>
    <t>Ref</t>
  </si>
  <si>
    <t>Driver</t>
  </si>
  <si>
    <t>Unit</t>
  </si>
  <si>
    <t>Low</t>
  </si>
  <si>
    <t>Central</t>
  </si>
  <si>
    <t>High</t>
  </si>
  <si>
    <t>Tier</t>
  </si>
  <si>
    <t>Source / note</t>
  </si>
  <si>
    <t>①  DATA CENTERS (excluding crypto)</t>
  </si>
  <si>
    <t>DC01</t>
  </si>
  <si>
    <t>Data centre electricity, 2024 actual</t>
  </si>
  <si>
    <t>TWh</t>
  </si>
  <si>
    <t>1</t>
  </si>
  <si>
    <t>LBNL, US Data Center Energy Usage Report: 2025 Update (Jun 2026)</t>
  </si>
  <si>
    <t>DC02</t>
  </si>
  <si>
    <t>Growth 2024 → 2025</t>
  </si>
  <si>
    <t>%/period</t>
  </si>
  <si>
    <t>LBNL Reference Case stated growth</t>
  </si>
  <si>
    <t>DC03</t>
  </si>
  <si>
    <t>Data centre electricity, 2030</t>
  </si>
  <si>
    <t>LBNL: Reference 649; Compounded Uncertainty band 521–843</t>
  </si>
  <si>
    <t>DC04</t>
  </si>
  <si>
    <t>CAGR 2030 → 2040</t>
  </si>
  <si>
    <t>%/yr</t>
  </si>
  <si>
    <t>3</t>
  </si>
  <si>
    <t>ESTIMATE. LBNL stops at 2030. Applies IEA's global growth-rate halving to a US series</t>
  </si>
  <si>
    <t>②  CRYPTO MINING</t>
  </si>
  <si>
    <t>CR01</t>
  </si>
  <si>
    <t>Change in crypto load, 2025 → 2040</t>
  </si>
  <si>
    <t>ESTIMATE. LBNL excludes crypto entirely, so there is no base to build from</t>
  </si>
  <si>
    <t>③  LIGHT-DUTY ELECTRIC VEHICLES</t>
  </si>
  <si>
    <t>EV01</t>
  </si>
  <si>
    <t>Light-duty EV electricity, 2025</t>
  </si>
  <si>
    <t>EIA: 24 BkWh in 2025, ~6M EVs on the road</t>
  </si>
  <si>
    <t>EV02</t>
  </si>
  <si>
    <t>Light-duty fleet, 2040</t>
  </si>
  <si>
    <t>M vehicles</t>
  </si>
  <si>
    <t>ESTIMATE. ~280M today scaled on population. Source properly: FHWA Highway Statistics MV-1</t>
  </si>
  <si>
    <t>EV03</t>
  </si>
  <si>
    <t>BEV share of fleet STOCK, 2040</t>
  </si>
  <si>
    <t>%</t>
  </si>
  <si>
    <t>ESTIMATE. AEO gives sales shares and one 2060 stock point; no published 2040 stock share exists</t>
  </si>
  <si>
    <t>EV04</t>
  </si>
  <si>
    <t>Electricity per EV per year</t>
  </si>
  <si>
    <t>kWh</t>
  </si>
  <si>
    <t>2</t>
  </si>
  <si>
    <t>24 TWh / 6M vehicles; cross-checks vs 12,000 mi / 3.4 mi per kWh plus charging losses</t>
  </si>
  <si>
    <t>④  MEDIUM / HEAVY DUTY AND BUSES</t>
  </si>
  <si>
    <t>MH01</t>
  </si>
  <si>
    <t>Class 3–8 fleet, 2040</t>
  </si>
  <si>
    <t>ESTIMATE</t>
  </si>
  <si>
    <t>MH02</t>
  </si>
  <si>
    <t>Zero-emission share of STOCK, 2040</t>
  </si>
  <si>
    <t>MH03</t>
  </si>
  <si>
    <t>Electricity per truck per year</t>
  </si>
  <si>
    <t>MH04</t>
  </si>
  <si>
    <t>Transit and school buses</t>
  </si>
  <si>
    <t>⑤  RESIDENTIAL HEATING FUEL-SWITCHING</t>
  </si>
  <si>
    <t>RH01</t>
  </si>
  <si>
    <t>Gas-to-electric conversions per year</t>
  </si>
  <si>
    <t>thousand/yr</t>
  </si>
  <si>
    <t>ESTIMATE. AHRI publishes SHIPMENTS, not fuel switches. 3.6M heat pumps shipped ≠ 3.6M homes leaving gas</t>
  </si>
  <si>
    <t>RH02</t>
  </si>
  <si>
    <t>Incremental electricity per conversion</t>
  </si>
  <si>
    <t>kWh/yr</t>
  </si>
  <si>
    <t>ESTIMATE. Space plus water heating. Source properly: EIA RECS</t>
  </si>
  <si>
    <t>⑥  RESIDENTIAL, ALL OTHER (net of efficiency)</t>
  </si>
  <si>
    <t>RO01</t>
  </si>
  <si>
    <t>Net new households, 2025 → 2040</t>
  </si>
  <si>
    <t>M</t>
  </si>
  <si>
    <t>Harvard JCHS 2024 Household Projections: 134M (2025) → 143M (2035) → 148M (2045), interpolated</t>
  </si>
  <si>
    <t>RO02</t>
  </si>
  <si>
    <t>Electricity per household per year</t>
  </si>
  <si>
    <t>ESTIMATE, approx EIA average</t>
  </si>
  <si>
    <t>RO03</t>
  </si>
  <si>
    <t>Residential base subject to efficiency drag</t>
  </si>
  <si>
    <t>ESTIMATE. Residential sales ex-heating</t>
  </si>
  <si>
    <t>RO04</t>
  </si>
  <si>
    <t>Efficiency drag on existing stock</t>
  </si>
  <si>
    <t>ESTIMATE. Slower than commercial because LED gains are largely banked</t>
  </si>
  <si>
    <t>⑦  COOLING INTENSIFICATION</t>
  </si>
  <si>
    <t>CO01</t>
  </si>
  <si>
    <t>Cooling electricity base, 2025</t>
  </si>
  <si>
    <t>ESTIMATE. Residential plus commercial cooling</t>
  </si>
  <si>
    <t>CO02</t>
  </si>
  <si>
    <t>Intensification over the period</t>
  </si>
  <si>
    <t>ESTIMATE. Rising cooling degree days; saturation already ~90% so this is intensity, not adoption</t>
  </si>
  <si>
    <t>⑧  COMMERCIAL EXCLUDING DATA CENTRES (net of efficiency)</t>
  </si>
  <si>
    <t>CM01</t>
  </si>
  <si>
    <t>Commercial ex-data-centre base, 2025</t>
  </si>
  <si>
    <t>ESTIMATE. Commercial sales less the data centre carve-out (avoids double counting block 1)</t>
  </si>
  <si>
    <t>CM02</t>
  </si>
  <si>
    <t>Floorspace growth</t>
  </si>
  <si>
    <t>ESTIMATE. Source properly: EIA CBECS / AEO Commercial Module</t>
  </si>
  <si>
    <t>CM03</t>
  </si>
  <si>
    <t>⑨  INDUSTRIAL (net)</t>
  </si>
  <si>
    <t>IN01</t>
  </si>
  <si>
    <t>Semiconductor fabs</t>
  </si>
  <si>
    <t>ESTIMATE. Source properly: published MW figures in TSMC Arizona, Intel Ohio, Samsung Taylor filings</t>
  </si>
  <si>
    <t>IN02</t>
  </si>
  <si>
    <t>Battery and EV supply chain</t>
  </si>
  <si>
    <t>ESTIMATE. Source properly: DOE battery plant grant filings</t>
  </si>
  <si>
    <t>IN03</t>
  </si>
  <si>
    <t>Electrolytic hydrogen</t>
  </si>
  <si>
    <t>IN04</t>
  </si>
  <si>
    <t>Electrified process heat</t>
  </si>
  <si>
    <t>IN05</t>
  </si>
  <si>
    <t>Other reshoring / manufacturing</t>
  </si>
  <si>
    <t>SYSTEM PARAMETERS</t>
  </si>
  <si>
    <t>SY01</t>
  </si>
  <si>
    <t>US net generation, 2025</t>
  </si>
  <si>
    <t>EIA Electricity Data Browser. Weather-normalise before use: 2025 was a hot summer</t>
  </si>
  <si>
    <t>SY02</t>
  </si>
  <si>
    <t>US peak demand, 2025</t>
  </si>
  <si>
    <t>GW</t>
  </si>
  <si>
    <t>Approx, from Grid Strategies base</t>
  </si>
  <si>
    <t>SY03</t>
  </si>
  <si>
    <t>Blended system load factor, 2040</t>
  </si>
  <si>
    <t>ESTIMATE. Rises from 64% today because flat data centre load grows as a share of the mix</t>
  </si>
  <si>
    <t>SY04</t>
  </si>
  <si>
    <t>Data centre load factor</t>
  </si>
  <si>
    <t>Round-the-clock operation; note LBNL assumes only 50% interconnection utilisation</t>
  </si>
  <si>
    <t>SY05</t>
  </si>
  <si>
    <t>Hours per year</t>
  </si>
  <si>
    <t>h</t>
  </si>
  <si>
    <t>SY06</t>
  </si>
  <si>
    <t>Utility-forecast peak growth to 2030</t>
  </si>
  <si>
    <t>Grid Strategies, National Load Growth Report</t>
  </si>
  <si>
    <t>SY07</t>
  </si>
  <si>
    <t xml:space="preserve">  of which data centres</t>
  </si>
  <si>
    <t>Grid Strategies: data centres ~55% of peak growth</t>
  </si>
  <si>
    <t>SY08</t>
  </si>
  <si>
    <t>Projection horizon</t>
  </si>
  <si>
    <t>years</t>
  </si>
  <si>
    <t>2025 → 2040</t>
  </si>
  <si>
    <t>BUILD — nine demand blocks, 2025 → 2040</t>
  </si>
  <si>
    <t>Every figure is a formula on the Assumptions tab. Structure of each block: Δ stock × service per unit ÷ efficiency, netted against its own efficiency drag.</t>
  </si>
  <si>
    <t>Block / component</t>
  </si>
  <si>
    <t>Low (TWh)</t>
  </si>
  <si>
    <t>Central (TWh)</t>
  </si>
  <si>
    <t>High (TWh)</t>
  </si>
  <si>
    <t>Note</t>
  </si>
  <si>
    <t>2025 level</t>
  </si>
  <si>
    <t>192 TWh (2024) grown at LBNL's stated 2025 rate</t>
  </si>
  <si>
    <t>2040 level</t>
  </si>
  <si>
    <t>2030 level compounded ten years</t>
  </si>
  <si>
    <t>Δ TWh</t>
  </si>
  <si>
    <t>Largest block and largest source of uncertainty</t>
  </si>
  <si>
    <t>Assumed flat: miners convert facilities to AI hosting</t>
  </si>
  <si>
    <t>M vehicles × stock share × kWh/yr ÷ 1,000</t>
  </si>
  <si>
    <t>less: 2025 level</t>
  </si>
  <si>
    <t>STOCK share, not sales share</t>
  </si>
  <si>
    <t>Class 3–8 trucks</t>
  </si>
  <si>
    <t>Cumulative conversions (M homes)</t>
  </si>
  <si>
    <t>Conversions per year × horizon</t>
  </si>
  <si>
    <t>Only 12% of energy growth — but a ~15–25% load factor, so far more of PEAK</t>
  </si>
  <si>
    <t>New household demand</t>
  </si>
  <si>
    <t>less: efficiency drag on existing stock</t>
  </si>
  <si>
    <t>Drag applied to the 2025 base, not to the growing stock</t>
  </si>
  <si>
    <t>Second-largest block, entirely unsourced — fix this first</t>
  </si>
  <si>
    <t>TOTAL Δ TWh, 2025 → 2040</t>
  </si>
  <si>
    <t>SUMMARY — US electricity demand, 2025 vs 2040</t>
  </si>
  <si>
    <t>All figures are formulas. Change any input on the Assumptions tab and every number here moves.</t>
  </si>
  <si>
    <t>US net generation, 2025 (TWh)</t>
  </si>
  <si>
    <t>Total growth to 2040 (TWh)</t>
  </si>
  <si>
    <t>US net generation, 2040 (TWh)</t>
  </si>
  <si>
    <t>Growth on 2025 (%)</t>
  </si>
  <si>
    <t>Implied CAGR (%/yr)</t>
  </si>
  <si>
    <t>ATTRIBUTION OF CENTRAL-CASE GROWTH</t>
  </si>
  <si>
    <t>Block</t>
  </si>
  <si>
    <t>% of growth</t>
  </si>
  <si>
    <t>① Data centers</t>
  </si>
  <si>
    <t>② Crypto</t>
  </si>
  <si>
    <t>③ Light-duty EVs</t>
  </si>
  <si>
    <t>④ Medium/heavy duty</t>
  </si>
  <si>
    <t>⑤ Residential heating switch</t>
  </si>
  <si>
    <t>⑥ Residential, other</t>
  </si>
  <si>
    <t>⑦ Cooling</t>
  </si>
  <si>
    <t>⑧ Commercial ex-DC</t>
  </si>
  <si>
    <t>⑨ Industrial</t>
  </si>
  <si>
    <t>Total</t>
  </si>
  <si>
    <t>FOUR-BLOCK ROLLUP (as presented on the slide)</t>
  </si>
  <si>
    <t>Data centers</t>
  </si>
  <si>
    <t>Transport</t>
  </si>
  <si>
    <t>Industrial</t>
  </si>
  <si>
    <t>Buildings</t>
  </si>
  <si>
    <t>RECONCILIATION — does the energy build agree with utility peak forecasts?</t>
  </si>
  <si>
    <t>Energy (TWh) is how much you use over a year. Peak (GW) is the highest rate in the worst hour. Load factor = energy / (peak × 8,760). You pay for energy; you build for peak.</t>
  </si>
  <si>
    <t>Load factor today</t>
  </si>
  <si>
    <t>4,430 TWh / (790 GW × 8,760 h). System runs at 64% of its worst hour on average</t>
  </si>
  <si>
    <t>2040 electricity (TWh)</t>
  </si>
  <si>
    <t>From the Summary tab</t>
  </si>
  <si>
    <t>Assumed blended load factor, 2040</t>
  </si>
  <si>
    <t>Rises because flat data centre load grows as a share of the mix</t>
  </si>
  <si>
    <t>IMPLIED 2040 peak (GW)</t>
  </si>
  <si>
    <t>Peak = energy / (load factor × hours). This is an OUTPUT, not a forecast</t>
  </si>
  <si>
    <t>Implied peak growth vs 2025 (GW)</t>
  </si>
  <si>
    <t>Over fifteen years</t>
  </si>
  <si>
    <t>Utility-forecast peak growth by 2030 (GW)</t>
  </si>
  <si>
    <t>Grid Strategies. FIVE years, not fifteen — these cannot both be right</t>
  </si>
  <si>
    <t>CROSS-CHECK ON THE DATA CENTRE BLOCK</t>
  </si>
  <si>
    <t>Utility-forecast data centre peak by 2030 (GW)</t>
  </si>
  <si>
    <t>Grid Strategies: data centres ~55% of the 166 GW</t>
  </si>
  <si>
    <t>Implied data centre energy by 2030 (TWh)</t>
  </si>
  <si>
    <t>90 GW × 85% load factor × 8,760 h</t>
  </si>
  <si>
    <t>LBNL bottom-up data centre growth 2025→2030 (TWh)</t>
  </si>
  <si>
    <t>Built from actual chip and server shipments</t>
  </si>
  <si>
    <t>GAP (TWh)</t>
  </si>
  <si>
    <t>Interconnection-based forecasts imply this much more than the chip-level count</t>
  </si>
  <si>
    <t>Gap as % of the chip-level build</t>
  </si>
  <si>
    <t>If this is large, someone's assumptions are wrong</t>
  </si>
  <si>
    <t>HOW TO READ THIS: three reconciliations are possible. (1) Utility peak forecasts are inflated — Grid Strategies concedes up to 40%, from developers filing in multiple jurisdictions for one project. (2) Data centre load factor is well below 85% — LBNL assumes only 50% interconnection utilisation. (3) Non-data-centre load is getting far peakier than its energy share implies. Option 3 is the one that matters: heat pumps and EV charging run at 15–25% load factors, so a block that is 12% of ENERGY growth can be 30%+ of PEAK growth. That is where flexibility gets valued — or mispriced.</t>
  </si>
  <si>
    <t>SOURCES — what is published, what is derived, what is a guess</t>
  </si>
  <si>
    <t>Tier 3 rows have no published source. They are estimates. The right-hand column says where to go and fix that.</t>
  </si>
  <si>
    <t>What it covers</t>
  </si>
  <si>
    <t>Source</t>
  </si>
  <si>
    <t>Link / where to source it properly</t>
  </si>
  <si>
    <t>Data centres 192 TWh (2024), 649 TWh (2030), 521–843 band, 33% of load growth</t>
  </si>
  <si>
    <t>https://eta.lbl.gov/publications/united-states-data-center-energy-2025</t>
  </si>
  <si>
    <t>Global data centres 485→950 TWh 2025–30; AI-focused tripling; ~1,200 TWh 2035</t>
  </si>
  <si>
    <t>IEA, Key Questions on Energy and AI (Apr 2026)</t>
  </si>
  <si>
    <t>https://www.iea.org/reports/key-questions-on-energy-and-ai/executive-summary</t>
  </si>
  <si>
    <t>Growth-rate halving after 2030 (~90 → &lt;50 TWh/yr)</t>
  </si>
  <si>
    <t>Carbon Brief on IEA data</t>
  </si>
  <si>
    <t>https://www.carbonbrief.org/ai-five-charts-that-put-data-centre-energy-use-and-emissions-into-context</t>
  </si>
  <si>
    <t>4,430 TWh net generation 2025; sector growth rates</t>
  </si>
  <si>
    <t>EIA Today in Energy #67284</t>
  </si>
  <si>
    <t>https://www.eia.gov/todayinenergy/detail.php?id=67284</t>
  </si>
  <si>
    <t>6M EVs on the road; 24 TWh light-duty EV electricity 2025; 96 quads total energy</t>
  </si>
  <si>
    <t>EIA Today in Energy #67824</t>
  </si>
  <si>
    <t>https://www.eia.gov/todayinenergy/detail.php?id=67824</t>
  </si>
  <si>
    <t>134M households 2025 → 143M 2035 → 148M 2045</t>
  </si>
  <si>
    <t>Harvard JCHS 2024 Household Projections</t>
  </si>
  <si>
    <t>https://www.jchs.harvard.edu/research-areas/working-papers/household-and-new-housing-unit-demand-projections-2025-2035-and-2035</t>
  </si>
  <si>
    <t>166 GW peak growth by 2030; ~90 GW data centres; ~30 GW industrial; ~30 GW buildings+transport</t>
  </si>
  <si>
    <t>https://gridstrategiesllc.com/project/load-growth-forecast/</t>
  </si>
  <si>
    <t>0.9–1.6%/yr through 2050; BEV 50% of sales by 2032 vs 46% of stock by 2060; flat server load shape</t>
  </si>
  <si>
    <t>EIA Annual Energy Outlook 2026</t>
  </si>
  <si>
    <t>https://www.eia.gov/outlooks/aeo/</t>
  </si>
  <si>
    <t>The conflicting ~2%/yr figure for the same Counterfactual Baseline</t>
  </si>
  <si>
    <t>EIA Energy Explained, Use of Electricity</t>
  </si>
  <si>
    <t>https://www.eia.gov/energyexplained/electricity/use-of-electricity.php</t>
  </si>
  <si>
    <t>Servers 7% of commercial electricity 2025 → 22–33% by 2050; 446–818 TWh</t>
  </si>
  <si>
    <t>EIA Today in Energy #67704</t>
  </si>
  <si>
    <t>https://www.eia.gov/todayinenergy/detail.php?id=67704</t>
  </si>
  <si>
    <t>3,900 kWh per EV per year</t>
  </si>
  <si>
    <t>24 TWh / 6M vehicles; cross-checks vs 12,000 mi at 3.4 mi/kWh</t>
  </si>
  <si>
    <t>Derived — see EIA #67824</t>
  </si>
  <si>
    <t>234 TWh data centres 2025</t>
  </si>
  <si>
    <t>192 × 1.22, LBNL's own stated 2025 growth</t>
  </si>
  <si>
    <t>Derived — see LBNL</t>
  </si>
  <si>
    <t>+11M households to 2040</t>
  </si>
  <si>
    <t>JCHS interpolated between 2035 and 2045</t>
  </si>
  <si>
    <t>Derived — see JCHS</t>
  </si>
  <si>
    <t>Data centre CAGR 2030→2040 (drives ~half of the largest block)</t>
  </si>
  <si>
    <t>NO SOURCE. Applies IEA's global deceleration to a US series</t>
  </si>
  <si>
    <t>Watch for LBNL's next update; IEA revises this annually</t>
  </si>
  <si>
    <t>Industrial block, all five components (+250 TWh central, 17% of growth)</t>
  </si>
  <si>
    <t>NO SOURCE. Round numbers assigned from sector knowledge</t>
  </si>
  <si>
    <t>https://www.eia.gov/outlooks/aeo/  — plus published MW in TSMC Arizona, Intel Ohio, Samsung Taylor filings; DOE battery grants</t>
  </si>
  <si>
    <t>Heating conversions per year</t>
  </si>
  <si>
    <t>NO SOURCE. AHRI publishes shipments, not fuel switches</t>
  </si>
  <si>
    <t>https://www.ahrinet.org/analytics/statistics/monthly-shipments  and  https://rmi.org/resources/tracking-the-heat-pump-water-heater-market-in-the-united-states/</t>
  </si>
  <si>
    <t>BEV stock share 2040</t>
  </si>
  <si>
    <t>NO SOURCE. Interpolated between AEO sales shares and its single 2060 stock point</t>
  </si>
  <si>
    <t>No published 2040 stock figure exists — build a vintage/retirement schedule</t>
  </si>
  <si>
    <t>Light-duty fleet size 2040</t>
  </si>
  <si>
    <t>NO SOURCE. Scaled on population</t>
  </si>
  <si>
    <t>FHWA Highway Statistics, Table MV-1</t>
  </si>
  <si>
    <t>Household kWh, residential base, efficiency drag rates</t>
  </si>
  <si>
    <t>NO SOURCE</t>
  </si>
  <si>
    <t>EIA RECS; EIA Electric Power Annual (sales / customers)</t>
  </si>
  <si>
    <t>Cooling base and intensification</t>
  </si>
  <si>
    <t>NOAA cooling degree day projections × RECS/CBECS cooling shares</t>
  </si>
  <si>
    <t>Commercial floorspace growth and efficiency rates</t>
  </si>
  <si>
    <t>EIA CBECS; AEO Commercial Demand Module</t>
  </si>
  <si>
    <t>Crypto held flat</t>
  </si>
  <si>
    <t>NO SOURCE. LBNL excludes crypto from its base entirely</t>
  </si>
  <si>
    <t>Cambridge Bitcoin Electricity Consumption Index</t>
  </si>
  <si>
    <t>Class 3–8 stock, ZEV share, kWh per truck</t>
  </si>
  <si>
    <t>AEO2026 freight tables; NACFE run data</t>
  </si>
  <si>
    <t>Blended load factor 2040</t>
  </si>
  <si>
    <t>NO SOURCE. Judgment on load-shape mix</t>
  </si>
  <si>
    <t>Derive from FERC Form 714 hourly load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</si>
</sst>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;\-"/>
    <numFmt numFmtId="165" formatCode="0.0%"/>
    <numFmt numFmtId="166" formatCode="#,##0.0;\(#,##0.0\);\-"/>
  </numFmts>
  <fonts count="17" x14ac:knownFonts="1">
    <font>
      <sz val="11"/>
      <color theme="1"/>
      <name val="Calibri"/>
      <family val="2"/>
      <charset val="1"/>
    </font>
    <font>
      <b/>
      <sz val="16"/>
      <color rgb="FF1E2761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5"/>
      <color rgb="FF1E2761"/>
      <name val="Arial"/>
      <charset val="1"/>
    </font>
    <font>
      <b/>
      <sz val="9"/>
      <color rgb="FFFFFFFF"/>
      <name val="Arial"/>
      <charset val="1"/>
    </font>
    <font>
      <sz val="8"/>
      <color rgb="FF777777"/>
      <name val="Arial"/>
      <charset val="1"/>
    </font>
    <font>
      <sz val="10"/>
      <color rgb="FF0000FF"/>
      <name val="Arial"/>
      <charset val="1"/>
    </font>
    <font>
      <b/>
      <sz val="8"/>
      <color rgb="FFC0451F"/>
      <name val="Arial"/>
      <charset val="1"/>
    </font>
    <font>
      <sz val="10"/>
      <color rgb="FF008000"/>
      <name val="Arial"/>
      <charset val="1"/>
    </font>
    <font>
      <b/>
      <sz val="10"/>
      <name val="Arial"/>
      <charset val="1"/>
    </font>
    <font>
      <b/>
      <sz val="10"/>
      <color rgb="FF1E2761"/>
      <name val="Arial"/>
      <charset val="1"/>
    </font>
    <font>
      <b/>
      <sz val="11"/>
      <color rgb="FF1E2761"/>
      <name val="Arial"/>
      <charset val="1"/>
    </font>
    <font>
      <sz val="10"/>
      <color rgb="FF000000"/>
      <name val="Arial"/>
      <charset val="1"/>
    </font>
    <font>
      <sz val="9"/>
      <color rgb="FF333333"/>
      <name val="Arial"/>
      <charset val="1"/>
    </font>
    <font>
      <u/>
      <sz val="9"/>
      <color rgb="FF0563C1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E2761"/>
        <bgColor rgb="FF333333"/>
      </patternFill>
    </fill>
    <fill>
      <patternFill patternType="solid">
        <fgColor rgb="FF4A5578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E8ECF5"/>
        <bgColor rgb="FFFDF0EA"/>
      </patternFill>
    </fill>
    <fill>
      <patternFill patternType="solid">
        <fgColor rgb="FFFDF0EA"/>
        <bgColor rgb="FFE8ECF5"/>
      </patternFill>
    </fill>
  </fills>
  <borders count="2">
    <border>
      <left/>
      <right/>
      <top/>
      <bottom/>
      <diagonal/>
    </border>
    <border>
      <left/>
      <right/>
      <top style="thin">
        <color rgb="FFA9B0C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5" fillId="6" borderId="0" xfId="0" applyFont="1" applyFill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7" fillId="0" borderId="0" xfId="0" applyFont="1"/>
    <xf numFmtId="164" fontId="8" fillId="4" borderId="0" xfId="0" applyNumberFormat="1" applyFont="1" applyFill="1"/>
    <xf numFmtId="0" fontId="7" fillId="0" borderId="0" xfId="0" applyFont="1" applyAlignment="1">
      <alignment horizontal="center"/>
    </xf>
    <xf numFmtId="165" fontId="8" fillId="4" borderId="0" xfId="0" applyNumberFormat="1" applyFont="1" applyFill="1"/>
    <xf numFmtId="0" fontId="9" fillId="0" borderId="0" xfId="0" applyFont="1" applyAlignment="1">
      <alignment horizontal="center"/>
    </xf>
    <xf numFmtId="3" fontId="8" fillId="4" borderId="0" xfId="0" applyNumberFormat="1" applyFont="1" applyFill="1"/>
    <xf numFmtId="166" fontId="8" fillId="4" borderId="0" xfId="0" applyNumberFormat="1" applyFont="1" applyFill="1"/>
    <xf numFmtId="164" fontId="10" fillId="0" borderId="0" xfId="0" applyNumberFormat="1" applyFont="1"/>
    <xf numFmtId="0" fontId="11" fillId="0" borderId="1" xfId="0" applyFont="1" applyBorder="1"/>
    <xf numFmtId="0" fontId="0" fillId="0" borderId="1" xfId="0" applyBorder="1"/>
    <xf numFmtId="164" fontId="12" fillId="5" borderId="1" xfId="0" applyNumberFormat="1" applyFont="1" applyFill="1" applyBorder="1"/>
    <xf numFmtId="0" fontId="7" fillId="0" borderId="1" xfId="0" applyFont="1" applyBorder="1"/>
    <xf numFmtId="166" fontId="10" fillId="0" borderId="0" xfId="0" applyNumberFormat="1" applyFont="1"/>
    <xf numFmtId="0" fontId="13" fillId="0" borderId="1" xfId="0" applyFont="1" applyBorder="1"/>
    <xf numFmtId="164" fontId="13" fillId="5" borderId="1" xfId="0" applyNumberFormat="1" applyFont="1" applyFill="1" applyBorder="1"/>
    <xf numFmtId="165" fontId="10" fillId="0" borderId="0" xfId="0" applyNumberFormat="1" applyFont="1"/>
    <xf numFmtId="0" fontId="6" fillId="3" borderId="0" xfId="0" applyFont="1" applyFill="1"/>
    <xf numFmtId="165" fontId="14" fillId="0" borderId="0" xfId="0" applyNumberFormat="1" applyFont="1"/>
    <xf numFmtId="165" fontId="12" fillId="5" borderId="1" xfId="0" applyNumberFormat="1" applyFont="1" applyFill="1" applyBorder="1"/>
    <xf numFmtId="0" fontId="11" fillId="0" borderId="0" xfId="0" applyFont="1"/>
    <xf numFmtId="164" fontId="12" fillId="5" borderId="0" xfId="0" applyNumberFormat="1" applyFont="1" applyFill="1"/>
    <xf numFmtId="164" fontId="12" fillId="6" borderId="0" xfId="0" applyNumberFormat="1" applyFont="1" applyFill="1"/>
    <xf numFmtId="0" fontId="16" fillId="0" borderId="0" xfId="0" applyFont="1"/>
    <xf numFmtId="0" fontId="9" fillId="6" borderId="0" xfId="0" applyFont="1" applyFill="1" applyAlignment="1">
      <alignment horizontal="center"/>
    </xf>
    <xf numFmtId="0" fontId="4" fillId="6" borderId="0" xfId="0" applyFont="1" applyFill="1"/>
    <xf numFmtId="0" fontId="7" fillId="6" borderId="0" xfId="0" applyFont="1" applyFill="1"/>
    <xf numFmtId="0" fontId="16" fillId="6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B0C4"/>
      <rgbColor rgb="FF878787"/>
      <rgbColor rgb="FF9999FF"/>
      <rgbColor rgb="FF993366"/>
      <rgbColor rgb="FFFDF0EA"/>
      <rgbColor rgb="FFE8ECF5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666666"/>
      <rgbColor rgb="FF777777"/>
      <rgbColor rgb="FF1E2761"/>
      <rgbColor rgb="FF339966"/>
      <rgbColor rgb="FF003300"/>
      <rgbColor rgb="FF333300"/>
      <rgbColor rgb="FFC0451F"/>
      <rgbColor rgb="FF993366"/>
      <rgbColor rgb="FF4A55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CA" sz="1800" b="1" strike="noStrike" spc="-1">
                <a:solidFill>
                  <a:srgbClr val="000000"/>
                </a:solidFill>
                <a:latin typeface="Calibri"/>
              </a:rPr>
              <a:t>Contribution to growth, 2025-2040 (TWh, central case)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Summary!$A$25:$A$28</c:f>
              <c:strCache>
                <c:ptCount val="4"/>
                <c:pt idx="0">
                  <c:v>Data centers</c:v>
                </c:pt>
                <c:pt idx="1">
                  <c:v>Transport</c:v>
                </c:pt>
                <c:pt idx="2">
                  <c:v>Industrial</c:v>
                </c:pt>
                <c:pt idx="3">
                  <c:v>Buildings</c:v>
                </c:pt>
              </c:strCache>
            </c:strRef>
          </c:cat>
          <c:val>
            <c:numRef>
              <c:f>Summary!$B$25:$B$28</c:f>
              <c:numCache>
                <c:formatCode>#,##0;\(#,##0\);\-</c:formatCode>
                <c:ptCount val="4"/>
                <c:pt idx="0">
                  <c:v>764.03382388512193</c:v>
                </c:pt>
                <c:pt idx="1">
                  <c:v>267.82</c:v>
                </c:pt>
                <c:pt idx="2">
                  <c:v>250</c:v>
                </c:pt>
                <c:pt idx="3">
                  <c:v>168.71764012619022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2-6A4C-AD56-3F085EB5F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99301"/>
        <c:axId val="9032408"/>
      </c:barChart>
      <c:catAx>
        <c:axId val="1659930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032408"/>
        <c:crosses val="autoZero"/>
        <c:auto val="1"/>
        <c:lblAlgn val="ctr"/>
        <c:lblOffset val="100"/>
        <c:noMultiLvlLbl val="0"/>
      </c:catAx>
      <c:valAx>
        <c:axId val="903240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;\(#,##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659930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145440</xdr:rowOff>
    </xdr:from>
    <xdr:to>
      <xdr:col>13</xdr:col>
      <xdr:colOff>147600</xdr:colOff>
      <xdr:row>18</xdr:row>
      <xdr:rowOff>167760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ia.gov/outlooks/aeo/" TargetMode="External"/><Relationship Id="rId3" Type="http://schemas.openxmlformats.org/officeDocument/2006/relationships/hyperlink" Target="https://www.carbonbrief.org/ai-five-charts-that-put-data-centre-energy-use-and-emissions-into-context" TargetMode="External"/><Relationship Id="rId7" Type="http://schemas.openxmlformats.org/officeDocument/2006/relationships/hyperlink" Target="https://gridstrategiesllc.com/project/load-growth-forecast/" TargetMode="External"/><Relationship Id="rId12" Type="http://schemas.openxmlformats.org/officeDocument/2006/relationships/hyperlink" Target="https://www.ahrinet.org/analytics/statistics/monthly-shipments" TargetMode="External"/><Relationship Id="rId2" Type="http://schemas.openxmlformats.org/officeDocument/2006/relationships/hyperlink" Target="https://www.iea.org/reports/key-questions-on-energy-and-ai/executive-summary" TargetMode="External"/><Relationship Id="rId1" Type="http://schemas.openxmlformats.org/officeDocument/2006/relationships/hyperlink" Target="https://eta.lbl.gov/publications/united-states-data-center-energy-2025" TargetMode="External"/><Relationship Id="rId6" Type="http://schemas.openxmlformats.org/officeDocument/2006/relationships/hyperlink" Target="https://www.jchs.harvard.edu/research-areas/working-papers/household-and-new-housing-unit-demand-projections-2025-2035-and-2035" TargetMode="External"/><Relationship Id="rId11" Type="http://schemas.openxmlformats.org/officeDocument/2006/relationships/hyperlink" Target="https://www.eia.gov/outlooks/aeo/" TargetMode="External"/><Relationship Id="rId5" Type="http://schemas.openxmlformats.org/officeDocument/2006/relationships/hyperlink" Target="https://www.eia.gov/todayinenergy/detail.php?id=67824" TargetMode="External"/><Relationship Id="rId10" Type="http://schemas.openxmlformats.org/officeDocument/2006/relationships/hyperlink" Target="https://www.eia.gov/todayinenergy/detail.php?id=67704" TargetMode="External"/><Relationship Id="rId4" Type="http://schemas.openxmlformats.org/officeDocument/2006/relationships/hyperlink" Target="https://www.eia.gov/todayinenergy/detail.php?id=67284" TargetMode="External"/><Relationship Id="rId9" Type="http://schemas.openxmlformats.org/officeDocument/2006/relationships/hyperlink" Target="https://www.eia.gov/energyexplained/electricity/use-of-electricit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showGridLines="0" tabSelected="1" zoomScaleNormal="100" workbookViewId="0">
      <selection activeCell="A7" sqref="A7"/>
    </sheetView>
  </sheetViews>
  <sheetFormatPr baseColWidth="10" defaultColWidth="8.6640625" defaultRowHeight="15" x14ac:dyDescent="0.2"/>
  <cols>
    <col min="1" max="1" width="155" customWidth="1"/>
    <col min="2" max="2" width="3" customWidth="1"/>
  </cols>
  <sheetData>
    <row r="1" spans="1:2" ht="20" x14ac:dyDescent="0.2">
      <c r="A1" s="2" t="s">
        <v>0</v>
      </c>
    </row>
    <row r="2" spans="1:2" x14ac:dyDescent="0.2">
      <c r="A2" s="3" t="s">
        <v>1</v>
      </c>
    </row>
    <row r="5" spans="1:2" x14ac:dyDescent="0.2">
      <c r="A5" s="4" t="s">
        <v>2</v>
      </c>
      <c r="B5" s="5"/>
    </row>
    <row r="6" spans="1:2" x14ac:dyDescent="0.2">
      <c r="A6" s="6" t="s">
        <v>3</v>
      </c>
    </row>
    <row r="7" spans="1:2" x14ac:dyDescent="0.2">
      <c r="A7" s="6" t="s">
        <v>4</v>
      </c>
    </row>
    <row r="8" spans="1:2" x14ac:dyDescent="0.2">
      <c r="A8" s="6" t="s">
        <v>5</v>
      </c>
    </row>
    <row r="9" spans="1:2" x14ac:dyDescent="0.2">
      <c r="A9" s="6" t="s">
        <v>6</v>
      </c>
    </row>
    <row r="11" spans="1:2" x14ac:dyDescent="0.2">
      <c r="A11" s="4" t="s">
        <v>7</v>
      </c>
      <c r="B11" s="5"/>
    </row>
    <row r="12" spans="1:2" x14ac:dyDescent="0.2">
      <c r="A12" s="6" t="s">
        <v>8</v>
      </c>
    </row>
    <row r="13" spans="1:2" x14ac:dyDescent="0.2">
      <c r="A13" s="6" t="s">
        <v>9</v>
      </c>
    </row>
    <row r="14" spans="1:2" x14ac:dyDescent="0.2">
      <c r="A14" s="6" t="s">
        <v>10</v>
      </c>
    </row>
    <row r="15" spans="1:2" x14ac:dyDescent="0.2">
      <c r="A15" s="6" t="s">
        <v>11</v>
      </c>
    </row>
    <row r="17" spans="1:2" x14ac:dyDescent="0.2">
      <c r="A17" s="4" t="s">
        <v>12</v>
      </c>
      <c r="B17" s="5"/>
    </row>
    <row r="18" spans="1:2" x14ac:dyDescent="0.2">
      <c r="A18" s="6" t="s">
        <v>13</v>
      </c>
    </row>
    <row r="19" spans="1:2" x14ac:dyDescent="0.2">
      <c r="A19" s="6" t="s">
        <v>14</v>
      </c>
    </row>
    <row r="20" spans="1:2" x14ac:dyDescent="0.2">
      <c r="A20" s="6" t="s">
        <v>15</v>
      </c>
    </row>
    <row r="21" spans="1:2" x14ac:dyDescent="0.2">
      <c r="A21" s="6" t="s">
        <v>16</v>
      </c>
    </row>
    <row r="23" spans="1:2" x14ac:dyDescent="0.2">
      <c r="A23" s="4" t="s">
        <v>17</v>
      </c>
      <c r="B23" s="5"/>
    </row>
    <row r="24" spans="1:2" x14ac:dyDescent="0.2">
      <c r="A24" s="6" t="s">
        <v>18</v>
      </c>
    </row>
    <row r="25" spans="1:2" x14ac:dyDescent="0.2">
      <c r="A25" s="6" t="s">
        <v>19</v>
      </c>
    </row>
    <row r="26" spans="1:2" x14ac:dyDescent="0.2">
      <c r="A26" s="6" t="s">
        <v>20</v>
      </c>
    </row>
    <row r="27" spans="1:2" x14ac:dyDescent="0.2">
      <c r="A27" s="6" t="s">
        <v>21</v>
      </c>
    </row>
    <row r="29" spans="1:2" x14ac:dyDescent="0.2">
      <c r="A29" s="4" t="s">
        <v>22</v>
      </c>
      <c r="B29" s="5"/>
    </row>
    <row r="30" spans="1:2" x14ac:dyDescent="0.2">
      <c r="A30" s="6" t="s">
        <v>23</v>
      </c>
    </row>
    <row r="31" spans="1:2" x14ac:dyDescent="0.2">
      <c r="A31" s="6" t="s">
        <v>24</v>
      </c>
    </row>
    <row r="32" spans="1:2" x14ac:dyDescent="0.2">
      <c r="A32" s="6" t="s">
        <v>25</v>
      </c>
    </row>
    <row r="33" spans="1:1" x14ac:dyDescent="0.2">
      <c r="A33" s="6" t="s">
        <v>26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22" sqref="H22"/>
    </sheetView>
  </sheetViews>
  <sheetFormatPr baseColWidth="10" defaultColWidth="8.6640625" defaultRowHeight="15" x14ac:dyDescent="0.2"/>
  <cols>
    <col min="1" max="1" width="7" customWidth="1"/>
    <col min="2" max="2" width="42" customWidth="1"/>
    <col min="3" max="3" width="13" customWidth="1"/>
    <col min="4" max="6" width="12" customWidth="1"/>
    <col min="7" max="7" width="6" customWidth="1"/>
    <col min="8" max="8" width="95" customWidth="1"/>
  </cols>
  <sheetData>
    <row r="1" spans="1:8" ht="19" x14ac:dyDescent="0.2">
      <c r="A1" s="7" t="s">
        <v>27</v>
      </c>
    </row>
    <row r="2" spans="1:8" x14ac:dyDescent="0.2">
      <c r="A2" s="3" t="s">
        <v>28</v>
      </c>
    </row>
    <row r="4" spans="1:8" x14ac:dyDescent="0.2">
      <c r="A4" s="8" t="s">
        <v>29</v>
      </c>
      <c r="B4" s="8" t="s">
        <v>30</v>
      </c>
      <c r="C4" s="8" t="s">
        <v>31</v>
      </c>
      <c r="D4" s="9" t="s">
        <v>32</v>
      </c>
      <c r="E4" s="9" t="s">
        <v>33</v>
      </c>
      <c r="F4" s="9" t="s">
        <v>34</v>
      </c>
      <c r="G4" s="9" t="s">
        <v>35</v>
      </c>
      <c r="H4" s="9" t="s">
        <v>36</v>
      </c>
    </row>
    <row r="5" spans="1:8" x14ac:dyDescent="0.2">
      <c r="A5" s="4" t="s">
        <v>37</v>
      </c>
      <c r="B5" s="5"/>
      <c r="C5" s="5"/>
      <c r="D5" s="5"/>
      <c r="E5" s="5"/>
      <c r="F5" s="5"/>
      <c r="G5" s="5"/>
      <c r="H5" s="5"/>
    </row>
    <row r="6" spans="1:8" x14ac:dyDescent="0.2">
      <c r="A6" s="10" t="s">
        <v>38</v>
      </c>
      <c r="B6" s="6" t="s">
        <v>39</v>
      </c>
      <c r="C6" s="10" t="s">
        <v>40</v>
      </c>
      <c r="D6" s="11">
        <v>192</v>
      </c>
      <c r="E6" s="11">
        <v>192</v>
      </c>
      <c r="F6" s="11">
        <v>192</v>
      </c>
      <c r="G6" s="12" t="s">
        <v>41</v>
      </c>
      <c r="H6" s="10" t="s">
        <v>42</v>
      </c>
    </row>
    <row r="7" spans="1:8" x14ac:dyDescent="0.2">
      <c r="A7" s="10" t="s">
        <v>43</v>
      </c>
      <c r="B7" s="6" t="s">
        <v>44</v>
      </c>
      <c r="C7" s="10" t="s">
        <v>45</v>
      </c>
      <c r="D7" s="13">
        <v>0.22</v>
      </c>
      <c r="E7" s="13">
        <v>0.22</v>
      </c>
      <c r="F7" s="13">
        <v>0.22</v>
      </c>
      <c r="G7" s="12" t="s">
        <v>41</v>
      </c>
      <c r="H7" s="10" t="s">
        <v>46</v>
      </c>
    </row>
    <row r="8" spans="1:8" x14ac:dyDescent="0.2">
      <c r="A8" s="10" t="s">
        <v>47</v>
      </c>
      <c r="B8" s="6" t="s">
        <v>48</v>
      </c>
      <c r="C8" s="10" t="s">
        <v>40</v>
      </c>
      <c r="D8" s="11">
        <v>521</v>
      </c>
      <c r="E8" s="11">
        <v>649</v>
      </c>
      <c r="F8" s="11">
        <v>843</v>
      </c>
      <c r="G8" s="12" t="s">
        <v>41</v>
      </c>
      <c r="H8" s="10" t="s">
        <v>49</v>
      </c>
    </row>
    <row r="9" spans="1:8" x14ac:dyDescent="0.2">
      <c r="A9" s="10" t="s">
        <v>50</v>
      </c>
      <c r="B9" s="6" t="s">
        <v>51</v>
      </c>
      <c r="C9" s="10" t="s">
        <v>52</v>
      </c>
      <c r="D9" s="13">
        <v>0.02</v>
      </c>
      <c r="E9" s="13">
        <v>4.3999999999999997E-2</v>
      </c>
      <c r="F9" s="13">
        <v>0.06</v>
      </c>
      <c r="G9" s="14" t="s">
        <v>53</v>
      </c>
      <c r="H9" s="10" t="s">
        <v>54</v>
      </c>
    </row>
    <row r="10" spans="1:8" x14ac:dyDescent="0.2">
      <c r="A10" s="4" t="s">
        <v>55</v>
      </c>
      <c r="B10" s="5"/>
      <c r="C10" s="5"/>
      <c r="D10" s="5"/>
      <c r="E10" s="5"/>
      <c r="F10" s="5"/>
      <c r="G10" s="5"/>
      <c r="H10" s="5"/>
    </row>
    <row r="11" spans="1:8" x14ac:dyDescent="0.2">
      <c r="A11" s="10" t="s">
        <v>56</v>
      </c>
      <c r="B11" s="6" t="s">
        <v>57</v>
      </c>
      <c r="C11" s="10" t="s">
        <v>40</v>
      </c>
      <c r="D11" s="11">
        <v>-40</v>
      </c>
      <c r="E11" s="11">
        <v>0</v>
      </c>
      <c r="F11" s="11">
        <v>60</v>
      </c>
      <c r="G11" s="14" t="s">
        <v>53</v>
      </c>
      <c r="H11" s="10" t="s">
        <v>58</v>
      </c>
    </row>
    <row r="12" spans="1:8" x14ac:dyDescent="0.2">
      <c r="A12" s="4" t="s">
        <v>59</v>
      </c>
      <c r="B12" s="5"/>
      <c r="C12" s="5"/>
      <c r="D12" s="5"/>
      <c r="E12" s="5"/>
      <c r="F12" s="5"/>
      <c r="G12" s="5"/>
      <c r="H12" s="5"/>
    </row>
    <row r="13" spans="1:8" x14ac:dyDescent="0.2">
      <c r="A13" s="10" t="s">
        <v>60</v>
      </c>
      <c r="B13" s="6" t="s">
        <v>61</v>
      </c>
      <c r="C13" s="10" t="s">
        <v>40</v>
      </c>
      <c r="D13" s="11">
        <v>24</v>
      </c>
      <c r="E13" s="11">
        <v>24</v>
      </c>
      <c r="F13" s="11">
        <v>24</v>
      </c>
      <c r="G13" s="12" t="s">
        <v>41</v>
      </c>
      <c r="H13" s="10" t="s">
        <v>62</v>
      </c>
    </row>
    <row r="14" spans="1:8" x14ac:dyDescent="0.2">
      <c r="A14" s="10" t="s">
        <v>63</v>
      </c>
      <c r="B14" s="6" t="s">
        <v>64</v>
      </c>
      <c r="C14" s="10" t="s">
        <v>65</v>
      </c>
      <c r="D14" s="11">
        <v>290</v>
      </c>
      <c r="E14" s="11">
        <v>290</v>
      </c>
      <c r="F14" s="11">
        <v>290</v>
      </c>
      <c r="G14" s="14" t="s">
        <v>53</v>
      </c>
      <c r="H14" s="10" t="s">
        <v>66</v>
      </c>
    </row>
    <row r="15" spans="1:8" x14ac:dyDescent="0.2">
      <c r="A15" s="10" t="s">
        <v>67</v>
      </c>
      <c r="B15" s="6" t="s">
        <v>68</v>
      </c>
      <c r="C15" s="10" t="s">
        <v>69</v>
      </c>
      <c r="D15" s="13">
        <v>0.12</v>
      </c>
      <c r="E15" s="13">
        <v>0.22</v>
      </c>
      <c r="F15" s="13">
        <v>0.35</v>
      </c>
      <c r="G15" s="14" t="s">
        <v>53</v>
      </c>
      <c r="H15" s="10" t="s">
        <v>70</v>
      </c>
    </row>
    <row r="16" spans="1:8" x14ac:dyDescent="0.2">
      <c r="A16" s="10" t="s">
        <v>71</v>
      </c>
      <c r="B16" s="6" t="s">
        <v>72</v>
      </c>
      <c r="C16" s="10" t="s">
        <v>73</v>
      </c>
      <c r="D16" s="15">
        <v>3700</v>
      </c>
      <c r="E16" s="15">
        <v>3900</v>
      </c>
      <c r="F16" s="15">
        <v>4000</v>
      </c>
      <c r="G16" s="12" t="s">
        <v>74</v>
      </c>
      <c r="H16" s="10" t="s">
        <v>75</v>
      </c>
    </row>
    <row r="17" spans="1:8" x14ac:dyDescent="0.2">
      <c r="A17" s="4" t="s">
        <v>76</v>
      </c>
      <c r="B17" s="5"/>
      <c r="C17" s="5"/>
      <c r="D17" s="5"/>
      <c r="E17" s="5"/>
      <c r="F17" s="5"/>
      <c r="G17" s="5"/>
      <c r="H17" s="5"/>
    </row>
    <row r="18" spans="1:8" x14ac:dyDescent="0.2">
      <c r="A18" s="10" t="s">
        <v>77</v>
      </c>
      <c r="B18" s="6" t="s">
        <v>78</v>
      </c>
      <c r="C18" s="10" t="s">
        <v>65</v>
      </c>
      <c r="D18" s="16">
        <v>14</v>
      </c>
      <c r="E18" s="16">
        <v>14</v>
      </c>
      <c r="F18" s="16">
        <v>14</v>
      </c>
      <c r="G18" s="14" t="s">
        <v>53</v>
      </c>
      <c r="H18" s="10" t="s">
        <v>79</v>
      </c>
    </row>
    <row r="19" spans="1:8" x14ac:dyDescent="0.2">
      <c r="A19" s="10" t="s">
        <v>80</v>
      </c>
      <c r="B19" s="6" t="s">
        <v>81</v>
      </c>
      <c r="C19" s="10" t="s">
        <v>69</v>
      </c>
      <c r="D19" s="13">
        <v>0.05</v>
      </c>
      <c r="E19" s="13">
        <v>0.1</v>
      </c>
      <c r="F19" s="13">
        <v>0.21</v>
      </c>
      <c r="G19" s="14" t="s">
        <v>53</v>
      </c>
      <c r="H19" s="10" t="s">
        <v>79</v>
      </c>
    </row>
    <row r="20" spans="1:8" x14ac:dyDescent="0.2">
      <c r="A20" s="10" t="s">
        <v>82</v>
      </c>
      <c r="B20" s="6" t="s">
        <v>83</v>
      </c>
      <c r="C20" s="10" t="s">
        <v>73</v>
      </c>
      <c r="D20" s="15">
        <v>25000</v>
      </c>
      <c r="E20" s="15">
        <v>25000</v>
      </c>
      <c r="F20" s="15">
        <v>25000</v>
      </c>
      <c r="G20" s="14" t="s">
        <v>53</v>
      </c>
      <c r="H20" s="10" t="s">
        <v>79</v>
      </c>
    </row>
    <row r="21" spans="1:8" x14ac:dyDescent="0.2">
      <c r="A21" s="10" t="s">
        <v>84</v>
      </c>
      <c r="B21" s="6" t="s">
        <v>85</v>
      </c>
      <c r="C21" s="10" t="s">
        <v>40</v>
      </c>
      <c r="D21" s="11">
        <v>4</v>
      </c>
      <c r="E21" s="11">
        <v>8</v>
      </c>
      <c r="F21" s="11">
        <v>14</v>
      </c>
      <c r="G21" s="14" t="s">
        <v>53</v>
      </c>
      <c r="H21" s="10" t="s">
        <v>79</v>
      </c>
    </row>
    <row r="22" spans="1:8" x14ac:dyDescent="0.2">
      <c r="A22" s="4" t="s">
        <v>86</v>
      </c>
      <c r="B22" s="5"/>
      <c r="C22" s="5"/>
      <c r="D22" s="5"/>
      <c r="E22" s="5"/>
      <c r="F22" s="5"/>
      <c r="G22" s="5"/>
      <c r="H22" s="5"/>
    </row>
    <row r="23" spans="1:8" x14ac:dyDescent="0.2">
      <c r="A23" s="10" t="s">
        <v>87</v>
      </c>
      <c r="B23" s="6" t="s">
        <v>88</v>
      </c>
      <c r="C23" s="10" t="s">
        <v>89</v>
      </c>
      <c r="D23" s="11">
        <v>300</v>
      </c>
      <c r="E23" s="11">
        <v>800</v>
      </c>
      <c r="F23" s="11">
        <v>1400</v>
      </c>
      <c r="G23" s="14" t="s">
        <v>53</v>
      </c>
      <c r="H23" s="10" t="s">
        <v>90</v>
      </c>
    </row>
    <row r="24" spans="1:8" x14ac:dyDescent="0.2">
      <c r="A24" s="10" t="s">
        <v>91</v>
      </c>
      <c r="B24" s="6" t="s">
        <v>92</v>
      </c>
      <c r="C24" s="10" t="s">
        <v>93</v>
      </c>
      <c r="D24" s="15">
        <v>4500</v>
      </c>
      <c r="E24" s="15">
        <v>5000</v>
      </c>
      <c r="F24" s="15">
        <v>5500</v>
      </c>
      <c r="G24" s="14" t="s">
        <v>53</v>
      </c>
      <c r="H24" s="10" t="s">
        <v>94</v>
      </c>
    </row>
    <row r="25" spans="1:8" x14ac:dyDescent="0.2">
      <c r="A25" s="4" t="s">
        <v>95</v>
      </c>
      <c r="B25" s="5"/>
      <c r="C25" s="5"/>
      <c r="D25" s="5"/>
      <c r="E25" s="5"/>
      <c r="F25" s="5"/>
      <c r="G25" s="5"/>
      <c r="H25" s="5"/>
    </row>
    <row r="26" spans="1:8" x14ac:dyDescent="0.2">
      <c r="A26" s="10" t="s">
        <v>96</v>
      </c>
      <c r="B26" s="6" t="s">
        <v>97</v>
      </c>
      <c r="C26" s="10" t="s">
        <v>98</v>
      </c>
      <c r="D26" s="16">
        <v>8</v>
      </c>
      <c r="E26" s="16">
        <v>11</v>
      </c>
      <c r="F26" s="16">
        <v>13</v>
      </c>
      <c r="G26" s="12" t="s">
        <v>74</v>
      </c>
      <c r="H26" s="10" t="s">
        <v>99</v>
      </c>
    </row>
    <row r="27" spans="1:8" x14ac:dyDescent="0.2">
      <c r="A27" s="10" t="s">
        <v>100</v>
      </c>
      <c r="B27" s="6" t="s">
        <v>101</v>
      </c>
      <c r="C27" s="10" t="s">
        <v>73</v>
      </c>
      <c r="D27" s="15">
        <v>10300</v>
      </c>
      <c r="E27" s="15">
        <v>10300</v>
      </c>
      <c r="F27" s="15">
        <v>10300</v>
      </c>
      <c r="G27" s="14" t="s">
        <v>53</v>
      </c>
      <c r="H27" s="10" t="s">
        <v>102</v>
      </c>
    </row>
    <row r="28" spans="1:8" x14ac:dyDescent="0.2">
      <c r="A28" s="10" t="s">
        <v>103</v>
      </c>
      <c r="B28" s="6" t="s">
        <v>104</v>
      </c>
      <c r="C28" s="10" t="s">
        <v>40</v>
      </c>
      <c r="D28" s="11">
        <v>1440</v>
      </c>
      <c r="E28" s="11">
        <v>1440</v>
      </c>
      <c r="F28" s="11">
        <v>1440</v>
      </c>
      <c r="G28" s="14" t="s">
        <v>53</v>
      </c>
      <c r="H28" s="10" t="s">
        <v>105</v>
      </c>
    </row>
    <row r="29" spans="1:8" x14ac:dyDescent="0.2">
      <c r="A29" s="10" t="s">
        <v>106</v>
      </c>
      <c r="B29" s="6" t="s">
        <v>107</v>
      </c>
      <c r="C29" s="10" t="s">
        <v>52</v>
      </c>
      <c r="D29" s="13">
        <v>-5.0000000000000001E-3</v>
      </c>
      <c r="E29" s="13">
        <v>-4.0000000000000001E-3</v>
      </c>
      <c r="F29" s="13">
        <v>-2E-3</v>
      </c>
      <c r="G29" s="14" t="s">
        <v>53</v>
      </c>
      <c r="H29" s="10" t="s">
        <v>108</v>
      </c>
    </row>
    <row r="30" spans="1:8" x14ac:dyDescent="0.2">
      <c r="A30" s="4" t="s">
        <v>109</v>
      </c>
      <c r="B30" s="5"/>
      <c r="C30" s="5"/>
      <c r="D30" s="5"/>
      <c r="E30" s="5"/>
      <c r="F30" s="5"/>
      <c r="G30" s="5"/>
      <c r="H30" s="5"/>
    </row>
    <row r="31" spans="1:8" x14ac:dyDescent="0.2">
      <c r="A31" s="10" t="s">
        <v>110</v>
      </c>
      <c r="B31" s="6" t="s">
        <v>111</v>
      </c>
      <c r="C31" s="10" t="s">
        <v>40</v>
      </c>
      <c r="D31" s="11">
        <v>400</v>
      </c>
      <c r="E31" s="11">
        <v>400</v>
      </c>
      <c r="F31" s="11">
        <v>400</v>
      </c>
      <c r="G31" s="14" t="s">
        <v>53</v>
      </c>
      <c r="H31" s="10" t="s">
        <v>112</v>
      </c>
    </row>
    <row r="32" spans="1:8" x14ac:dyDescent="0.2">
      <c r="A32" s="10" t="s">
        <v>113</v>
      </c>
      <c r="B32" s="6" t="s">
        <v>114</v>
      </c>
      <c r="C32" s="10" t="s">
        <v>69</v>
      </c>
      <c r="D32" s="13">
        <v>3.7999999999999999E-2</v>
      </c>
      <c r="E32" s="13">
        <v>0.1</v>
      </c>
      <c r="F32" s="13">
        <v>0.19</v>
      </c>
      <c r="G32" s="14" t="s">
        <v>53</v>
      </c>
      <c r="H32" s="10" t="s">
        <v>115</v>
      </c>
    </row>
    <row r="33" spans="1:8" x14ac:dyDescent="0.2">
      <c r="A33" s="4" t="s">
        <v>116</v>
      </c>
      <c r="B33" s="5"/>
      <c r="C33" s="5"/>
      <c r="D33" s="5"/>
      <c r="E33" s="5"/>
      <c r="F33" s="5"/>
      <c r="G33" s="5"/>
      <c r="H33" s="5"/>
    </row>
    <row r="34" spans="1:8" x14ac:dyDescent="0.2">
      <c r="A34" s="10" t="s">
        <v>117</v>
      </c>
      <c r="B34" s="6" t="s">
        <v>118</v>
      </c>
      <c r="C34" s="10" t="s">
        <v>40</v>
      </c>
      <c r="D34" s="11">
        <v>1300</v>
      </c>
      <c r="E34" s="11">
        <v>1300</v>
      </c>
      <c r="F34" s="11">
        <v>1300</v>
      </c>
      <c r="G34" s="14" t="s">
        <v>53</v>
      </c>
      <c r="H34" s="10" t="s">
        <v>119</v>
      </c>
    </row>
    <row r="35" spans="1:8" x14ac:dyDescent="0.2">
      <c r="A35" s="10" t="s">
        <v>120</v>
      </c>
      <c r="B35" s="6" t="s">
        <v>121</v>
      </c>
      <c r="C35" s="10" t="s">
        <v>52</v>
      </c>
      <c r="D35" s="13">
        <v>6.0000000000000001E-3</v>
      </c>
      <c r="E35" s="13">
        <v>8.9999999999999993E-3</v>
      </c>
      <c r="F35" s="13">
        <v>1.2E-2</v>
      </c>
      <c r="G35" s="14" t="s">
        <v>53</v>
      </c>
      <c r="H35" s="10" t="s">
        <v>122</v>
      </c>
    </row>
    <row r="36" spans="1:8" x14ac:dyDescent="0.2">
      <c r="A36" s="10" t="s">
        <v>123</v>
      </c>
      <c r="B36" s="6" t="s">
        <v>107</v>
      </c>
      <c r="C36" s="10" t="s">
        <v>52</v>
      </c>
      <c r="D36" s="13">
        <v>-0.01</v>
      </c>
      <c r="E36" s="13">
        <v>-8.0000000000000002E-3</v>
      </c>
      <c r="F36" s="13">
        <v>-5.0000000000000001E-3</v>
      </c>
      <c r="G36" s="14" t="s">
        <v>53</v>
      </c>
      <c r="H36" s="10" t="s">
        <v>79</v>
      </c>
    </row>
    <row r="37" spans="1:8" x14ac:dyDescent="0.2">
      <c r="A37" s="4" t="s">
        <v>124</v>
      </c>
      <c r="B37" s="5"/>
      <c r="C37" s="5"/>
      <c r="D37" s="5"/>
      <c r="E37" s="5"/>
      <c r="F37" s="5"/>
      <c r="G37" s="5"/>
      <c r="H37" s="5"/>
    </row>
    <row r="38" spans="1:8" x14ac:dyDescent="0.2">
      <c r="A38" s="10" t="s">
        <v>125</v>
      </c>
      <c r="B38" s="6" t="s">
        <v>126</v>
      </c>
      <c r="C38" s="10" t="s">
        <v>40</v>
      </c>
      <c r="D38" s="11">
        <v>30</v>
      </c>
      <c r="E38" s="11">
        <v>60</v>
      </c>
      <c r="F38" s="11">
        <v>100</v>
      </c>
      <c r="G38" s="14" t="s">
        <v>53</v>
      </c>
      <c r="H38" s="10" t="s">
        <v>127</v>
      </c>
    </row>
    <row r="39" spans="1:8" x14ac:dyDescent="0.2">
      <c r="A39" s="10" t="s">
        <v>128</v>
      </c>
      <c r="B39" s="6" t="s">
        <v>129</v>
      </c>
      <c r="C39" s="10" t="s">
        <v>40</v>
      </c>
      <c r="D39" s="11">
        <v>40</v>
      </c>
      <c r="E39" s="11">
        <v>70</v>
      </c>
      <c r="F39" s="11">
        <v>110</v>
      </c>
      <c r="G39" s="14" t="s">
        <v>53</v>
      </c>
      <c r="H39" s="10" t="s">
        <v>130</v>
      </c>
    </row>
    <row r="40" spans="1:8" x14ac:dyDescent="0.2">
      <c r="A40" s="10" t="s">
        <v>131</v>
      </c>
      <c r="B40" s="6" t="s">
        <v>132</v>
      </c>
      <c r="C40" s="10" t="s">
        <v>40</v>
      </c>
      <c r="D40" s="11">
        <v>15</v>
      </c>
      <c r="E40" s="11">
        <v>40</v>
      </c>
      <c r="F40" s="11">
        <v>80</v>
      </c>
      <c r="G40" s="14" t="s">
        <v>53</v>
      </c>
      <c r="H40" s="10" t="s">
        <v>79</v>
      </c>
    </row>
    <row r="41" spans="1:8" x14ac:dyDescent="0.2">
      <c r="A41" s="10" t="s">
        <v>133</v>
      </c>
      <c r="B41" s="6" t="s">
        <v>134</v>
      </c>
      <c r="C41" s="10" t="s">
        <v>40</v>
      </c>
      <c r="D41" s="11">
        <v>20</v>
      </c>
      <c r="E41" s="11">
        <v>40</v>
      </c>
      <c r="F41" s="11">
        <v>70</v>
      </c>
      <c r="G41" s="14" t="s">
        <v>53</v>
      </c>
      <c r="H41" s="10" t="s">
        <v>79</v>
      </c>
    </row>
    <row r="42" spans="1:8" x14ac:dyDescent="0.2">
      <c r="A42" s="10" t="s">
        <v>135</v>
      </c>
      <c r="B42" s="6" t="s">
        <v>136</v>
      </c>
      <c r="C42" s="10" t="s">
        <v>40</v>
      </c>
      <c r="D42" s="11">
        <v>15</v>
      </c>
      <c r="E42" s="11">
        <v>40</v>
      </c>
      <c r="F42" s="11">
        <v>60</v>
      </c>
      <c r="G42" s="14" t="s">
        <v>53</v>
      </c>
      <c r="H42" s="10" t="s">
        <v>79</v>
      </c>
    </row>
    <row r="43" spans="1:8" x14ac:dyDescent="0.2">
      <c r="A43" s="4" t="s">
        <v>137</v>
      </c>
      <c r="B43" s="5"/>
      <c r="C43" s="5"/>
      <c r="D43" s="5"/>
      <c r="E43" s="5"/>
      <c r="F43" s="5"/>
      <c r="G43" s="5"/>
      <c r="H43" s="5"/>
    </row>
    <row r="44" spans="1:8" x14ac:dyDescent="0.2">
      <c r="A44" s="10" t="s">
        <v>138</v>
      </c>
      <c r="B44" s="6" t="s">
        <v>139</v>
      </c>
      <c r="C44" s="10" t="s">
        <v>40</v>
      </c>
      <c r="D44" s="11">
        <v>4430</v>
      </c>
      <c r="E44" s="11">
        <v>4430</v>
      </c>
      <c r="F44" s="11">
        <v>4430</v>
      </c>
      <c r="G44" s="12" t="s">
        <v>41</v>
      </c>
      <c r="H44" s="10" t="s">
        <v>140</v>
      </c>
    </row>
    <row r="45" spans="1:8" x14ac:dyDescent="0.2">
      <c r="A45" s="10" t="s">
        <v>141</v>
      </c>
      <c r="B45" s="6" t="s">
        <v>142</v>
      </c>
      <c r="C45" s="10" t="s">
        <v>143</v>
      </c>
      <c r="D45" s="11">
        <v>790</v>
      </c>
      <c r="E45" s="11">
        <v>790</v>
      </c>
      <c r="F45" s="11">
        <v>790</v>
      </c>
      <c r="G45" s="12" t="s">
        <v>41</v>
      </c>
      <c r="H45" s="10" t="s">
        <v>144</v>
      </c>
    </row>
    <row r="46" spans="1:8" x14ac:dyDescent="0.2">
      <c r="A46" s="10" t="s">
        <v>145</v>
      </c>
      <c r="B46" s="6" t="s">
        <v>146</v>
      </c>
      <c r="C46" s="10" t="s">
        <v>69</v>
      </c>
      <c r="D46" s="13">
        <v>0.66</v>
      </c>
      <c r="E46" s="13">
        <v>0.69</v>
      </c>
      <c r="F46" s="13">
        <v>0.72</v>
      </c>
      <c r="G46" s="14" t="s">
        <v>53</v>
      </c>
      <c r="H46" s="10" t="s">
        <v>147</v>
      </c>
    </row>
    <row r="47" spans="1:8" x14ac:dyDescent="0.2">
      <c r="A47" s="10" t="s">
        <v>148</v>
      </c>
      <c r="B47" s="6" t="s">
        <v>149</v>
      </c>
      <c r="C47" s="10" t="s">
        <v>69</v>
      </c>
      <c r="D47" s="13">
        <v>0.85</v>
      </c>
      <c r="E47" s="13">
        <v>0.85</v>
      </c>
      <c r="F47" s="13">
        <v>0.85</v>
      </c>
      <c r="G47" s="12" t="s">
        <v>74</v>
      </c>
      <c r="H47" s="10" t="s">
        <v>150</v>
      </c>
    </row>
    <row r="48" spans="1:8" x14ac:dyDescent="0.2">
      <c r="A48" s="10" t="s">
        <v>151</v>
      </c>
      <c r="B48" s="6" t="s">
        <v>152</v>
      </c>
      <c r="C48" s="10" t="s">
        <v>153</v>
      </c>
      <c r="D48" s="11">
        <v>8760</v>
      </c>
      <c r="E48" s="11">
        <v>8760</v>
      </c>
      <c r="F48" s="11">
        <v>8760</v>
      </c>
      <c r="G48" s="12" t="s">
        <v>41</v>
      </c>
      <c r="H48" s="10"/>
    </row>
    <row r="49" spans="1:8" x14ac:dyDescent="0.2">
      <c r="A49" s="10" t="s">
        <v>154</v>
      </c>
      <c r="B49" s="6" t="s">
        <v>155</v>
      </c>
      <c r="C49" s="10" t="s">
        <v>143</v>
      </c>
      <c r="D49" s="11">
        <v>166</v>
      </c>
      <c r="E49" s="11">
        <v>166</v>
      </c>
      <c r="F49" s="11">
        <v>166</v>
      </c>
      <c r="G49" s="12" t="s">
        <v>41</v>
      </c>
      <c r="H49" s="10" t="s">
        <v>156</v>
      </c>
    </row>
    <row r="50" spans="1:8" x14ac:dyDescent="0.2">
      <c r="A50" s="10" t="s">
        <v>157</v>
      </c>
      <c r="B50" s="6" t="s">
        <v>158</v>
      </c>
      <c r="C50" s="10" t="s">
        <v>143</v>
      </c>
      <c r="D50" s="11">
        <v>90</v>
      </c>
      <c r="E50" s="11">
        <v>90</v>
      </c>
      <c r="F50" s="11">
        <v>90</v>
      </c>
      <c r="G50" s="12" t="s">
        <v>41</v>
      </c>
      <c r="H50" s="10" t="s">
        <v>159</v>
      </c>
    </row>
    <row r="51" spans="1:8" x14ac:dyDescent="0.2">
      <c r="A51" s="10" t="s">
        <v>160</v>
      </c>
      <c r="B51" s="6" t="s">
        <v>161</v>
      </c>
      <c r="C51" s="10" t="s">
        <v>162</v>
      </c>
      <c r="D51" s="11">
        <v>15</v>
      </c>
      <c r="E51" s="11">
        <v>15</v>
      </c>
      <c r="F51" s="11">
        <v>15</v>
      </c>
      <c r="G51" s="12" t="s">
        <v>41</v>
      </c>
      <c r="H51" s="10" t="s">
        <v>163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0"/>
  <sheetViews>
    <sheetView showGridLines="0" zoomScaleNormal="100" workbookViewId="0">
      <pane xSplit="2" ySplit="4" topLeftCell="C18" activePane="bottomRight" state="frozen"/>
      <selection pane="topRight" activeCell="C1" sqref="C1"/>
      <selection pane="bottomLeft" activeCell="A5" sqref="A5"/>
      <selection pane="bottomRight" activeCell="F54" sqref="F54"/>
    </sheetView>
  </sheetViews>
  <sheetFormatPr baseColWidth="10" defaultColWidth="8.6640625" defaultRowHeight="15" x14ac:dyDescent="0.2"/>
  <cols>
    <col min="1" max="1" width="44" customWidth="1"/>
    <col min="2" max="2" width="2" customWidth="1"/>
    <col min="3" max="5" width="14" customWidth="1"/>
    <col min="6" max="6" width="78" customWidth="1"/>
  </cols>
  <sheetData>
    <row r="1" spans="1:6" ht="19" x14ac:dyDescent="0.2">
      <c r="A1" s="7" t="s">
        <v>164</v>
      </c>
    </row>
    <row r="2" spans="1:6" x14ac:dyDescent="0.2">
      <c r="A2" s="3" t="s">
        <v>165</v>
      </c>
    </row>
    <row r="4" spans="1:6" x14ac:dyDescent="0.2">
      <c r="A4" s="8" t="s">
        <v>166</v>
      </c>
      <c r="B4" s="8"/>
      <c r="C4" s="9" t="s">
        <v>167</v>
      </c>
      <c r="D4" s="9" t="s">
        <v>168</v>
      </c>
      <c r="E4" s="9" t="s">
        <v>169</v>
      </c>
      <c r="F4" s="8" t="s">
        <v>170</v>
      </c>
    </row>
    <row r="6" spans="1:6" x14ac:dyDescent="0.2">
      <c r="A6" s="4" t="s">
        <v>37</v>
      </c>
      <c r="B6" s="5"/>
      <c r="C6" s="5"/>
      <c r="D6" s="5"/>
      <c r="E6" s="5"/>
      <c r="F6" s="5"/>
    </row>
    <row r="7" spans="1:6" x14ac:dyDescent="0.2">
      <c r="A7" s="6" t="s">
        <v>171</v>
      </c>
      <c r="C7" s="17">
        <f>Assumptions!$D$6*(1+Assumptions!$D$7)</f>
        <v>234.24</v>
      </c>
      <c r="D7" s="17">
        <f>Assumptions!$E$6*(1+Assumptions!$E$7)</f>
        <v>234.24</v>
      </c>
      <c r="E7" s="17">
        <f>Assumptions!$F$6*(1+Assumptions!$F$7)</f>
        <v>234.24</v>
      </c>
      <c r="F7" s="10" t="s">
        <v>172</v>
      </c>
    </row>
    <row r="8" spans="1:6" x14ac:dyDescent="0.2">
      <c r="A8" s="6" t="s">
        <v>173</v>
      </c>
      <c r="C8" s="17">
        <f>Assumptions!$D$8*(1+Assumptions!$D$9)^10</f>
        <v>635.09609281726841</v>
      </c>
      <c r="D8" s="17">
        <f>Assumptions!$E$8*(1+Assumptions!$E$9)^10</f>
        <v>998.27382388512194</v>
      </c>
      <c r="E8" s="17">
        <f>Assumptions!$F$8*(1+Assumptions!$F$9)^10</f>
        <v>1509.6846081856263</v>
      </c>
      <c r="F8" s="10" t="s">
        <v>174</v>
      </c>
    </row>
    <row r="9" spans="1:6" x14ac:dyDescent="0.2">
      <c r="A9" s="18" t="s">
        <v>175</v>
      </c>
      <c r="B9" s="19"/>
      <c r="C9" s="20">
        <f>C8-C7</f>
        <v>400.8560928172684</v>
      </c>
      <c r="D9" s="20">
        <f>D8-D7</f>
        <v>764.03382388512193</v>
      </c>
      <c r="E9" s="20">
        <f>E8-E7</f>
        <v>1275.4446081856263</v>
      </c>
      <c r="F9" s="21" t="s">
        <v>176</v>
      </c>
    </row>
    <row r="11" spans="1:6" x14ac:dyDescent="0.2">
      <c r="A11" s="4" t="s">
        <v>55</v>
      </c>
      <c r="B11" s="5"/>
      <c r="C11" s="5"/>
      <c r="D11" s="5"/>
      <c r="E11" s="5"/>
      <c r="F11" s="5"/>
    </row>
    <row r="12" spans="1:6" x14ac:dyDescent="0.2">
      <c r="A12" s="18" t="s">
        <v>175</v>
      </c>
      <c r="B12" s="19"/>
      <c r="C12" s="20">
        <f>Assumptions!$D$11</f>
        <v>-40</v>
      </c>
      <c r="D12" s="20">
        <f>Assumptions!$E$11</f>
        <v>0</v>
      </c>
      <c r="E12" s="20">
        <f>Assumptions!$F$11</f>
        <v>60</v>
      </c>
      <c r="F12" s="21" t="s">
        <v>177</v>
      </c>
    </row>
    <row r="14" spans="1:6" x14ac:dyDescent="0.2">
      <c r="A14" s="4" t="s">
        <v>59</v>
      </c>
      <c r="B14" s="5"/>
      <c r="C14" s="5"/>
      <c r="D14" s="5"/>
      <c r="E14" s="5"/>
      <c r="F14" s="5"/>
    </row>
    <row r="15" spans="1:6" x14ac:dyDescent="0.2">
      <c r="A15" s="6" t="s">
        <v>173</v>
      </c>
      <c r="C15" s="17">
        <f>Assumptions!$D$14*Assumptions!$D$15*Assumptions!$D$16/1000</f>
        <v>128.76</v>
      </c>
      <c r="D15" s="17">
        <f>Assumptions!$E$14*Assumptions!$E$15*Assumptions!$E$16/1000</f>
        <v>248.82</v>
      </c>
      <c r="E15" s="17">
        <f>Assumptions!$F$14*Assumptions!$F$15*Assumptions!$F$16/1000</f>
        <v>406</v>
      </c>
      <c r="F15" s="10" t="s">
        <v>178</v>
      </c>
    </row>
    <row r="16" spans="1:6" x14ac:dyDescent="0.2">
      <c r="A16" s="6" t="s">
        <v>179</v>
      </c>
      <c r="C16" s="17">
        <f>-Assumptions!$D$13</f>
        <v>-24</v>
      </c>
      <c r="D16" s="17">
        <f>-Assumptions!$E$13</f>
        <v>-24</v>
      </c>
      <c r="E16" s="17">
        <f>-Assumptions!$F$13</f>
        <v>-24</v>
      </c>
      <c r="F16" s="10"/>
    </row>
    <row r="17" spans="1:6" x14ac:dyDescent="0.2">
      <c r="A17" s="18" t="s">
        <v>175</v>
      </c>
      <c r="B17" s="19"/>
      <c r="C17" s="20">
        <f>SUM(C15:C16)</f>
        <v>104.75999999999999</v>
      </c>
      <c r="D17" s="20">
        <f>SUM(D15:D16)</f>
        <v>224.82</v>
      </c>
      <c r="E17" s="20">
        <f>SUM(E15:E16)</f>
        <v>382</v>
      </c>
      <c r="F17" s="21" t="s">
        <v>180</v>
      </c>
    </row>
    <row r="19" spans="1:6" x14ac:dyDescent="0.2">
      <c r="A19" s="4" t="s">
        <v>76</v>
      </c>
      <c r="B19" s="5"/>
      <c r="C19" s="5"/>
      <c r="D19" s="5"/>
      <c r="E19" s="5"/>
      <c r="F19" s="5"/>
    </row>
    <row r="20" spans="1:6" x14ac:dyDescent="0.2">
      <c r="A20" s="6" t="s">
        <v>181</v>
      </c>
      <c r="C20" s="17">
        <f>Assumptions!$D$18*Assumptions!$D$19*Assumptions!$D$20/1000</f>
        <v>17.5</v>
      </c>
      <c r="D20" s="17">
        <f>Assumptions!$E$18*Assumptions!$E$19*Assumptions!$E$20/1000</f>
        <v>35</v>
      </c>
      <c r="E20" s="17">
        <f>Assumptions!$F$18*Assumptions!$F$19*Assumptions!$F$20/1000</f>
        <v>73.5</v>
      </c>
      <c r="F20" s="10"/>
    </row>
    <row r="21" spans="1:6" x14ac:dyDescent="0.2">
      <c r="A21" s="6" t="s">
        <v>85</v>
      </c>
      <c r="C21" s="17">
        <f>Assumptions!$D$21</f>
        <v>4</v>
      </c>
      <c r="D21" s="17">
        <f>Assumptions!$E$21</f>
        <v>8</v>
      </c>
      <c r="E21" s="17">
        <f>Assumptions!$F$21</f>
        <v>14</v>
      </c>
      <c r="F21" s="10"/>
    </row>
    <row r="22" spans="1:6" x14ac:dyDescent="0.2">
      <c r="A22" s="18" t="s">
        <v>175</v>
      </c>
      <c r="B22" s="19"/>
      <c r="C22" s="20">
        <f>SUM(C20:C21)</f>
        <v>21.5</v>
      </c>
      <c r="D22" s="20">
        <f>SUM(D20:D21)</f>
        <v>43</v>
      </c>
      <c r="E22" s="20">
        <f>SUM(E20:E21)</f>
        <v>87.5</v>
      </c>
      <c r="F22" s="21"/>
    </row>
    <row r="24" spans="1:6" x14ac:dyDescent="0.2">
      <c r="A24" s="4" t="s">
        <v>86</v>
      </c>
      <c r="B24" s="5"/>
      <c r="C24" s="5"/>
      <c r="D24" s="5"/>
      <c r="E24" s="5"/>
      <c r="F24" s="5"/>
    </row>
    <row r="25" spans="1:6" x14ac:dyDescent="0.2">
      <c r="A25" s="6" t="s">
        <v>182</v>
      </c>
      <c r="C25" s="22">
        <f>Assumptions!$D$23*Assumptions!$D$51/1000</f>
        <v>4.5</v>
      </c>
      <c r="D25" s="22">
        <f>Assumptions!$E$23*Assumptions!$E$51/1000</f>
        <v>12</v>
      </c>
      <c r="E25" s="22">
        <f>Assumptions!$F$23*Assumptions!$F$51/1000</f>
        <v>21</v>
      </c>
      <c r="F25" s="10" t="s">
        <v>183</v>
      </c>
    </row>
    <row r="26" spans="1:6" x14ac:dyDescent="0.2">
      <c r="A26" s="18" t="s">
        <v>175</v>
      </c>
      <c r="B26" s="19"/>
      <c r="C26" s="20">
        <f>C25*Assumptions!$D$24/1000</f>
        <v>20.25</v>
      </c>
      <c r="D26" s="20">
        <f>D25*Assumptions!$E$24/1000</f>
        <v>60</v>
      </c>
      <c r="E26" s="20">
        <f>E25*Assumptions!$F$24/1000</f>
        <v>115.5</v>
      </c>
      <c r="F26" s="21" t="s">
        <v>184</v>
      </c>
    </row>
    <row r="28" spans="1:6" x14ac:dyDescent="0.2">
      <c r="A28" s="4" t="s">
        <v>95</v>
      </c>
      <c r="B28" s="5"/>
      <c r="C28" s="5"/>
      <c r="D28" s="5"/>
      <c r="E28" s="5"/>
      <c r="F28" s="5"/>
    </row>
    <row r="29" spans="1:6" x14ac:dyDescent="0.2">
      <c r="A29" s="6" t="s">
        <v>185</v>
      </c>
      <c r="C29" s="17">
        <f>Assumptions!$D$26*Assumptions!$D$27/1000</f>
        <v>82.4</v>
      </c>
      <c r="D29" s="17">
        <f>Assumptions!$E$26*Assumptions!$E$27/1000</f>
        <v>113.3</v>
      </c>
      <c r="E29" s="17">
        <f>Assumptions!$F$26*Assumptions!$F$27/1000</f>
        <v>133.9</v>
      </c>
      <c r="F29" s="10"/>
    </row>
    <row r="30" spans="1:6" x14ac:dyDescent="0.2">
      <c r="A30" s="6" t="s">
        <v>186</v>
      </c>
      <c r="C30" s="17">
        <f>Assumptions!$D$28*((1+Assumptions!$D$29)^Assumptions!$D$51-1)</f>
        <v>-104.30068490160758</v>
      </c>
      <c r="D30" s="17">
        <f>Assumptions!$E$28*((1+Assumptions!$E$29)^Assumptions!$E$51-1)</f>
        <v>-84.022234005134152</v>
      </c>
      <c r="E30" s="17">
        <f>Assumptions!$F$28*((1+Assumptions!$F$29)^Assumptions!$F$51-1)</f>
        <v>-42.600410288317988</v>
      </c>
      <c r="F30" s="10" t="s">
        <v>187</v>
      </c>
    </row>
    <row r="31" spans="1:6" x14ac:dyDescent="0.2">
      <c r="A31" s="18" t="s">
        <v>175</v>
      </c>
      <c r="B31" s="19"/>
      <c r="C31" s="20">
        <f>SUM(C29:C30)</f>
        <v>-21.900684901607576</v>
      </c>
      <c r="D31" s="20">
        <f>SUM(D29:D30)</f>
        <v>29.277765994865845</v>
      </c>
      <c r="E31" s="20">
        <f>SUM(E29:E30)</f>
        <v>91.299589711682017</v>
      </c>
      <c r="F31" s="21"/>
    </row>
    <row r="33" spans="1:6" x14ac:dyDescent="0.2">
      <c r="A33" s="4" t="s">
        <v>109</v>
      </c>
      <c r="B33" s="5"/>
      <c r="C33" s="5"/>
      <c r="D33" s="5"/>
      <c r="E33" s="5"/>
      <c r="F33" s="5"/>
    </row>
    <row r="34" spans="1:6" x14ac:dyDescent="0.2">
      <c r="A34" s="18" t="s">
        <v>175</v>
      </c>
      <c r="B34" s="19"/>
      <c r="C34" s="20">
        <f>Assumptions!$D$31*Assumptions!$D$32</f>
        <v>15.2</v>
      </c>
      <c r="D34" s="20">
        <f>Assumptions!$E$31*Assumptions!$E$32</f>
        <v>40</v>
      </c>
      <c r="E34" s="20">
        <f>Assumptions!$F$31*Assumptions!$F$32</f>
        <v>76</v>
      </c>
      <c r="F34" s="21"/>
    </row>
    <row r="36" spans="1:6" x14ac:dyDescent="0.2">
      <c r="A36" s="4" t="s">
        <v>116</v>
      </c>
      <c r="B36" s="5"/>
      <c r="C36" s="5"/>
      <c r="D36" s="5"/>
      <c r="E36" s="5"/>
      <c r="F36" s="5"/>
    </row>
    <row r="37" spans="1:6" x14ac:dyDescent="0.2">
      <c r="A37" s="6" t="s">
        <v>121</v>
      </c>
      <c r="C37" s="17">
        <f>Assumptions!$D$34*((1+Assumptions!$D$35)^Assumptions!$D$51-1)</f>
        <v>122.04409441464932</v>
      </c>
      <c r="D37" s="17">
        <f>Assumptions!$E$34*((1+Assumptions!$E$35)^Assumptions!$E$51-1)</f>
        <v>186.99958001408444</v>
      </c>
      <c r="E37" s="17">
        <f>Assumptions!$F$34*((1+Assumptions!$F$35)^Assumptions!$F$51-1)</f>
        <v>254.71589917893158</v>
      </c>
      <c r="F37" s="10"/>
    </row>
    <row r="38" spans="1:6" x14ac:dyDescent="0.2">
      <c r="A38" s="6" t="s">
        <v>186</v>
      </c>
      <c r="C38" s="17">
        <f>Assumptions!$D$34*((1+Assumptions!$D$36)^Assumptions!$D$51-1)</f>
        <v>-181.92413896632519</v>
      </c>
      <c r="D38" s="17">
        <f>Assumptions!$E$34*((1+Assumptions!$E$36)^Assumptions!$E$51-1)</f>
        <v>-147.55970588276006</v>
      </c>
      <c r="E38" s="17">
        <f>Assumptions!$F$34*((1+Assumptions!$F$36)^Assumptions!$F$51-1)</f>
        <v>-94.160340536173521</v>
      </c>
      <c r="F38" s="10"/>
    </row>
    <row r="39" spans="1:6" x14ac:dyDescent="0.2">
      <c r="A39" s="18" t="s">
        <v>175</v>
      </c>
      <c r="B39" s="19"/>
      <c r="C39" s="20">
        <f>SUM(C37:C38)</f>
        <v>-59.880044551675866</v>
      </c>
      <c r="D39" s="20">
        <f>SUM(D37:D38)</f>
        <v>39.439874131324387</v>
      </c>
      <c r="E39" s="20">
        <f>SUM(E37:E38)</f>
        <v>160.55555864275806</v>
      </c>
      <c r="F39" s="21"/>
    </row>
    <row r="41" spans="1:6" x14ac:dyDescent="0.2">
      <c r="A41" s="4" t="s">
        <v>124</v>
      </c>
      <c r="B41" s="5"/>
      <c r="C41" s="5"/>
      <c r="D41" s="5"/>
      <c r="E41" s="5"/>
      <c r="F41" s="5"/>
    </row>
    <row r="42" spans="1:6" x14ac:dyDescent="0.2">
      <c r="A42" s="6" t="s">
        <v>126</v>
      </c>
      <c r="C42" s="17">
        <f>Assumptions!$D$38</f>
        <v>30</v>
      </c>
      <c r="D42" s="17">
        <f>Assumptions!$E$38</f>
        <v>60</v>
      </c>
      <c r="E42" s="17">
        <f>Assumptions!$F$38</f>
        <v>100</v>
      </c>
      <c r="F42" s="10"/>
    </row>
    <row r="43" spans="1:6" x14ac:dyDescent="0.2">
      <c r="A43" s="6" t="s">
        <v>129</v>
      </c>
      <c r="C43" s="17">
        <f>Assumptions!$D$39</f>
        <v>40</v>
      </c>
      <c r="D43" s="17">
        <f>Assumptions!$E$39</f>
        <v>70</v>
      </c>
      <c r="E43" s="17">
        <f>Assumptions!$F$39</f>
        <v>110</v>
      </c>
      <c r="F43" s="10"/>
    </row>
    <row r="44" spans="1:6" x14ac:dyDescent="0.2">
      <c r="A44" s="6" t="s">
        <v>132</v>
      </c>
      <c r="C44" s="17">
        <f>Assumptions!$D$40</f>
        <v>15</v>
      </c>
      <c r="D44" s="17">
        <f>Assumptions!$E$40</f>
        <v>40</v>
      </c>
      <c r="E44" s="17">
        <f>Assumptions!$F$40</f>
        <v>80</v>
      </c>
      <c r="F44" s="10"/>
    </row>
    <row r="45" spans="1:6" x14ac:dyDescent="0.2">
      <c r="A45" s="6" t="s">
        <v>134</v>
      </c>
      <c r="C45" s="17">
        <f>Assumptions!$D$41</f>
        <v>20</v>
      </c>
      <c r="D45" s="17">
        <f>Assumptions!$E$41</f>
        <v>40</v>
      </c>
      <c r="E45" s="17">
        <f>Assumptions!$F$41</f>
        <v>70</v>
      </c>
      <c r="F45" s="10"/>
    </row>
    <row r="46" spans="1:6" x14ac:dyDescent="0.2">
      <c r="A46" s="6" t="s">
        <v>136</v>
      </c>
      <c r="C46" s="17">
        <f>Assumptions!$D$42</f>
        <v>15</v>
      </c>
      <c r="D46" s="17">
        <f>Assumptions!$E$42</f>
        <v>40</v>
      </c>
      <c r="E46" s="17">
        <f>Assumptions!$F$42</f>
        <v>60</v>
      </c>
      <c r="F46" s="10"/>
    </row>
    <row r="47" spans="1:6" x14ac:dyDescent="0.2">
      <c r="A47" s="18" t="s">
        <v>175</v>
      </c>
      <c r="B47" s="19"/>
      <c r="C47" s="20">
        <f>SUM(C42:C46)</f>
        <v>120</v>
      </c>
      <c r="D47" s="20">
        <f>SUM(D42:D46)</f>
        <v>250</v>
      </c>
      <c r="E47" s="20">
        <f>SUM(E42:E46)</f>
        <v>420</v>
      </c>
      <c r="F47" s="21" t="s">
        <v>188</v>
      </c>
    </row>
    <row r="50" spans="1:6" x14ac:dyDescent="0.2">
      <c r="A50" s="23" t="s">
        <v>189</v>
      </c>
      <c r="B50" s="19"/>
      <c r="C50" s="24">
        <f>C9+C12+C17+C22+C26+C31+C34+C39+C47</f>
        <v>560.78536336398497</v>
      </c>
      <c r="D50" s="24">
        <f>D9+D12+D17+D22+D26+D31+D34+D39+D47</f>
        <v>1450.5714640113122</v>
      </c>
      <c r="E50" s="24">
        <f>E9+E12+E17+E22+E26+E31+E34+E39+E47</f>
        <v>2668.2997565400665</v>
      </c>
      <c r="F50" s="19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9"/>
  <sheetViews>
    <sheetView showGridLines="0" zoomScaleNormal="100" workbookViewId="0">
      <selection activeCell="B30" sqref="B30"/>
    </sheetView>
  </sheetViews>
  <sheetFormatPr baseColWidth="10" defaultColWidth="8.6640625" defaultRowHeight="15" x14ac:dyDescent="0.2"/>
  <cols>
    <col min="1" max="1" width="36" customWidth="1"/>
    <col min="2" max="4" width="15" customWidth="1"/>
  </cols>
  <sheetData>
    <row r="1" spans="1:4" ht="19" x14ac:dyDescent="0.2">
      <c r="A1" s="7" t="s">
        <v>190</v>
      </c>
    </row>
    <row r="2" spans="1:4" x14ac:dyDescent="0.2">
      <c r="A2" s="3" t="s">
        <v>191</v>
      </c>
    </row>
    <row r="4" spans="1:4" x14ac:dyDescent="0.2">
      <c r="A4" s="8"/>
      <c r="B4" s="9" t="s">
        <v>32</v>
      </c>
      <c r="C4" s="9" t="s">
        <v>33</v>
      </c>
      <c r="D4" s="9" t="s">
        <v>34</v>
      </c>
    </row>
    <row r="5" spans="1:4" x14ac:dyDescent="0.2">
      <c r="A5" s="6" t="s">
        <v>192</v>
      </c>
      <c r="B5" s="17">
        <f>Assumptions!$D$44</f>
        <v>4430</v>
      </c>
      <c r="C5" s="17">
        <f>Assumptions!$E$44</f>
        <v>4430</v>
      </c>
      <c r="D5" s="17">
        <f>Assumptions!$F$44</f>
        <v>4430</v>
      </c>
    </row>
    <row r="6" spans="1:4" x14ac:dyDescent="0.2">
      <c r="A6" s="6" t="s">
        <v>193</v>
      </c>
      <c r="B6" s="17">
        <f>Build!C50</f>
        <v>560.78536336398497</v>
      </c>
      <c r="C6" s="17">
        <f>Build!D50</f>
        <v>1450.5714640113122</v>
      </c>
      <c r="D6" s="17">
        <f>Build!E50</f>
        <v>2668.2997565400665</v>
      </c>
    </row>
    <row r="7" spans="1:4" x14ac:dyDescent="0.2">
      <c r="A7" s="18" t="s">
        <v>194</v>
      </c>
      <c r="B7" s="20">
        <f>B5+B6</f>
        <v>4990.7853633639852</v>
      </c>
      <c r="C7" s="20">
        <f>C5+C6</f>
        <v>5880.5714640113119</v>
      </c>
      <c r="D7" s="20">
        <f>D5+D6</f>
        <v>7098.2997565400665</v>
      </c>
    </row>
    <row r="8" spans="1:4" x14ac:dyDescent="0.2">
      <c r="A8" s="6" t="s">
        <v>195</v>
      </c>
      <c r="B8" s="25">
        <f>B6/B5</f>
        <v>0.12658811814085438</v>
      </c>
      <c r="C8" s="25">
        <f>C6/C5</f>
        <v>0.32744276839984471</v>
      </c>
      <c r="D8" s="25">
        <f>D6/D5</f>
        <v>0.60232500147631296</v>
      </c>
    </row>
    <row r="9" spans="1:4" x14ac:dyDescent="0.2">
      <c r="A9" s="6" t="s">
        <v>196</v>
      </c>
      <c r="B9" s="25">
        <f>(B7/B5)^(1/Assumptions!$D$51)-1</f>
        <v>7.9779019275998397E-3</v>
      </c>
      <c r="C9" s="25">
        <f>(C7/C5)^(1/Assumptions!$E$51)-1</f>
        <v>1.9063047295514446E-2</v>
      </c>
      <c r="D9" s="25">
        <f>(D7/D5)^(1/Assumptions!$F$51)-1</f>
        <v>3.1929530188545163E-2</v>
      </c>
    </row>
    <row r="11" spans="1:4" x14ac:dyDescent="0.2">
      <c r="A11" s="4" t="s">
        <v>197</v>
      </c>
      <c r="B11" s="5"/>
      <c r="C11" s="5"/>
      <c r="D11" s="5"/>
    </row>
    <row r="12" spans="1:4" x14ac:dyDescent="0.2">
      <c r="A12" s="26" t="s">
        <v>198</v>
      </c>
      <c r="B12" s="26" t="s">
        <v>175</v>
      </c>
      <c r="C12" s="26" t="s">
        <v>199</v>
      </c>
      <c r="D12" s="26"/>
    </row>
    <row r="13" spans="1:4" x14ac:dyDescent="0.2">
      <c r="A13" s="6" t="s">
        <v>200</v>
      </c>
      <c r="B13" s="17">
        <f>Build!D9</f>
        <v>764.03382388512193</v>
      </c>
      <c r="C13" s="27">
        <f t="shared" ref="C13:C21" si="0">IF($C$6=0,0,B13/$C$6)</f>
        <v>0.52671229432041533</v>
      </c>
    </row>
    <row r="14" spans="1:4" x14ac:dyDescent="0.2">
      <c r="A14" s="6" t="s">
        <v>201</v>
      </c>
      <c r="B14" s="17">
        <f>Build!D12</f>
        <v>0</v>
      </c>
      <c r="C14" s="27">
        <f t="shared" si="0"/>
        <v>0</v>
      </c>
    </row>
    <row r="15" spans="1:4" x14ac:dyDescent="0.2">
      <c r="A15" s="6" t="s">
        <v>202</v>
      </c>
      <c r="B15" s="17">
        <f>Build!D17</f>
        <v>224.82</v>
      </c>
      <c r="C15" s="27">
        <f t="shared" si="0"/>
        <v>0.15498719337708325</v>
      </c>
    </row>
    <row r="16" spans="1:4" x14ac:dyDescent="0.2">
      <c r="A16" s="6" t="s">
        <v>203</v>
      </c>
      <c r="B16" s="17">
        <f>Build!D22</f>
        <v>43</v>
      </c>
      <c r="C16" s="27">
        <f t="shared" si="0"/>
        <v>2.9643489525907746E-2</v>
      </c>
    </row>
    <row r="17" spans="1:4" x14ac:dyDescent="0.2">
      <c r="A17" s="6" t="s">
        <v>204</v>
      </c>
      <c r="B17" s="17">
        <f>Build!D26</f>
        <v>60</v>
      </c>
      <c r="C17" s="27">
        <f t="shared" si="0"/>
        <v>4.1363008640801509E-2</v>
      </c>
    </row>
    <row r="18" spans="1:4" x14ac:dyDescent="0.2">
      <c r="A18" s="6" t="s">
        <v>205</v>
      </c>
      <c r="B18" s="17">
        <f>Build!D31</f>
        <v>29.277765994865845</v>
      </c>
      <c r="C18" s="27">
        <f t="shared" si="0"/>
        <v>2.0183608130483342E-2</v>
      </c>
    </row>
    <row r="19" spans="1:4" x14ac:dyDescent="0.2">
      <c r="A19" s="6" t="s">
        <v>206</v>
      </c>
      <c r="B19" s="17">
        <f>Build!D34</f>
        <v>40</v>
      </c>
      <c r="C19" s="27">
        <f t="shared" si="0"/>
        <v>2.7575339093867671E-2</v>
      </c>
    </row>
    <row r="20" spans="1:4" x14ac:dyDescent="0.2">
      <c r="A20" s="6" t="s">
        <v>207</v>
      </c>
      <c r="B20" s="17">
        <f>Build!D39</f>
        <v>39.439874131324387</v>
      </c>
      <c r="C20" s="27">
        <f t="shared" si="0"/>
        <v>2.7189197574768242E-2</v>
      </c>
    </row>
    <row r="21" spans="1:4" x14ac:dyDescent="0.2">
      <c r="A21" s="6" t="s">
        <v>208</v>
      </c>
      <c r="B21" s="17">
        <f>Build!D47</f>
        <v>250</v>
      </c>
      <c r="C21" s="27">
        <f t="shared" si="0"/>
        <v>0.17234586933667295</v>
      </c>
    </row>
    <row r="22" spans="1:4" x14ac:dyDescent="0.2">
      <c r="A22" s="18" t="s">
        <v>209</v>
      </c>
      <c r="B22" s="20">
        <f>SUM(B13:B21)</f>
        <v>1450.5714640113122</v>
      </c>
      <c r="C22" s="28">
        <f>SUM(C13:C21)</f>
        <v>1</v>
      </c>
    </row>
    <row r="24" spans="1:4" x14ac:dyDescent="0.2">
      <c r="A24" s="4" t="s">
        <v>210</v>
      </c>
      <c r="B24" s="5"/>
      <c r="C24" s="5"/>
      <c r="D24" s="5"/>
    </row>
    <row r="25" spans="1:4" x14ac:dyDescent="0.2">
      <c r="A25" s="6" t="s">
        <v>211</v>
      </c>
      <c r="B25" s="17">
        <f>Build!D9+Build!D12</f>
        <v>764.03382388512193</v>
      </c>
      <c r="C25" s="27">
        <f>IF($C$6=0,0,B25/$C$6)</f>
        <v>0.52671229432041533</v>
      </c>
    </row>
    <row r="26" spans="1:4" x14ac:dyDescent="0.2">
      <c r="A26" s="6" t="s">
        <v>212</v>
      </c>
      <c r="B26" s="17">
        <f>Build!D17+Build!D22</f>
        <v>267.82</v>
      </c>
      <c r="C26" s="27">
        <f>IF($C$6=0,0,B26/$C$6)</f>
        <v>0.18463068290299101</v>
      </c>
    </row>
    <row r="27" spans="1:4" x14ac:dyDescent="0.2">
      <c r="A27" s="6" t="s">
        <v>213</v>
      </c>
      <c r="B27" s="17">
        <f>Build!D47</f>
        <v>250</v>
      </c>
      <c r="C27" s="27">
        <f>IF($C$6=0,0,B27/$C$6)</f>
        <v>0.17234586933667295</v>
      </c>
    </row>
    <row r="28" spans="1:4" x14ac:dyDescent="0.2">
      <c r="A28" s="6" t="s">
        <v>214</v>
      </c>
      <c r="B28" s="17">
        <f>Build!D26+Build!D31+Build!D34+Build!D39</f>
        <v>168.71764012619022</v>
      </c>
      <c r="C28" s="27">
        <f>IF($C$6=0,0,B28/$C$6)</f>
        <v>0.11631115343992075</v>
      </c>
    </row>
    <row r="29" spans="1:4" x14ac:dyDescent="0.2">
      <c r="B29" s="37">
        <f>SUM(B25:B28)</f>
        <v>1450.5714640113122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3"/>
  <sheetViews>
    <sheetView showGridLines="0" zoomScaleNormal="100" workbookViewId="0"/>
  </sheetViews>
  <sheetFormatPr baseColWidth="10" defaultColWidth="8.6640625" defaultRowHeight="15" x14ac:dyDescent="0.2"/>
  <cols>
    <col min="1" max="1" width="44" customWidth="1"/>
    <col min="2" max="4" width="14" customWidth="1"/>
    <col min="5" max="5" width="72" customWidth="1"/>
  </cols>
  <sheetData>
    <row r="1" spans="1:5" ht="19" x14ac:dyDescent="0.2">
      <c r="A1" s="7" t="s">
        <v>215</v>
      </c>
    </row>
    <row r="2" spans="1:5" x14ac:dyDescent="0.2">
      <c r="A2" s="3" t="s">
        <v>216</v>
      </c>
    </row>
    <row r="4" spans="1:5" x14ac:dyDescent="0.2">
      <c r="A4" s="26"/>
      <c r="B4" s="26" t="s">
        <v>32</v>
      </c>
      <c r="C4" s="26" t="s">
        <v>33</v>
      </c>
      <c r="D4" s="26" t="s">
        <v>34</v>
      </c>
      <c r="E4" s="26" t="s">
        <v>170</v>
      </c>
    </row>
    <row r="5" spans="1:5" x14ac:dyDescent="0.2">
      <c r="A5" s="6" t="s">
        <v>217</v>
      </c>
      <c r="B5" s="25">
        <f>Assumptions!$D$44/(Assumptions!$D$45*Assumptions!$D$48/1000)</f>
        <v>0.64013640830009833</v>
      </c>
      <c r="C5" s="25">
        <f>Assumptions!$E$44/(Assumptions!$E$45*Assumptions!$E$48/1000)</f>
        <v>0.64013640830009833</v>
      </c>
      <c r="D5" s="25">
        <f>Assumptions!$F$44/(Assumptions!$F$45*Assumptions!$F$48/1000)</f>
        <v>0.64013640830009833</v>
      </c>
      <c r="E5" s="10" t="s">
        <v>218</v>
      </c>
    </row>
    <row r="6" spans="1:5" x14ac:dyDescent="0.2">
      <c r="A6" s="6" t="s">
        <v>219</v>
      </c>
      <c r="B6" s="17">
        <f>Summary!B7</f>
        <v>4990.7853633639852</v>
      </c>
      <c r="C6" s="17">
        <f>Summary!C7</f>
        <v>5880.5714640113119</v>
      </c>
      <c r="D6" s="17">
        <f>Summary!D7</f>
        <v>7098.2997565400665</v>
      </c>
      <c r="E6" s="10" t="s">
        <v>220</v>
      </c>
    </row>
    <row r="7" spans="1:5" x14ac:dyDescent="0.2">
      <c r="A7" s="6" t="s">
        <v>221</v>
      </c>
      <c r="B7" s="25">
        <f>Assumptions!$D$46</f>
        <v>0.66</v>
      </c>
      <c r="C7" s="25">
        <f>Assumptions!$E$46</f>
        <v>0.69</v>
      </c>
      <c r="D7" s="25">
        <f>Assumptions!$F$46</f>
        <v>0.72</v>
      </c>
      <c r="E7" s="10" t="s">
        <v>222</v>
      </c>
    </row>
    <row r="8" spans="1:5" x14ac:dyDescent="0.2">
      <c r="A8" s="29" t="s">
        <v>223</v>
      </c>
      <c r="B8" s="30">
        <f>B6*1000/(B7*Assumptions!$D$48)</f>
        <v>863.21872204303043</v>
      </c>
      <c r="C8" s="30">
        <f>C6*1000/(C7*Assumptions!$E$48)</f>
        <v>972.89581497109918</v>
      </c>
      <c r="D8" s="30">
        <f>D6*1000/(D7*Assumptions!$F$48)</f>
        <v>1125.4280435914616</v>
      </c>
      <c r="E8" s="10" t="s">
        <v>224</v>
      </c>
    </row>
    <row r="9" spans="1:5" x14ac:dyDescent="0.2">
      <c r="A9" s="6" t="s">
        <v>225</v>
      </c>
      <c r="B9" s="17">
        <f>B8-Assumptions!$D$45</f>
        <v>73.218722043030425</v>
      </c>
      <c r="C9" s="17">
        <f>C8-Assumptions!$E$45</f>
        <v>182.89581497109918</v>
      </c>
      <c r="D9" s="17">
        <f>D8-Assumptions!$F$45</f>
        <v>335.42804359146157</v>
      </c>
      <c r="E9" s="10" t="s">
        <v>226</v>
      </c>
    </row>
    <row r="10" spans="1:5" x14ac:dyDescent="0.2">
      <c r="A10" s="6" t="s">
        <v>227</v>
      </c>
      <c r="B10" s="17">
        <f>Assumptions!$D$49</f>
        <v>166</v>
      </c>
      <c r="C10" s="17">
        <f>Assumptions!$E$49</f>
        <v>166</v>
      </c>
      <c r="D10" s="17">
        <f>Assumptions!$F$49</f>
        <v>166</v>
      </c>
      <c r="E10" s="10" t="s">
        <v>228</v>
      </c>
    </row>
    <row r="12" spans="1:5" x14ac:dyDescent="0.2">
      <c r="A12" s="4" t="s">
        <v>229</v>
      </c>
      <c r="B12" s="5"/>
      <c r="C12" s="5"/>
      <c r="D12" s="5"/>
      <c r="E12" s="5"/>
    </row>
    <row r="13" spans="1:5" x14ac:dyDescent="0.2">
      <c r="A13" s="6" t="s">
        <v>230</v>
      </c>
      <c r="C13" s="17">
        <f>Assumptions!$E$50</f>
        <v>90</v>
      </c>
      <c r="E13" s="10" t="s">
        <v>231</v>
      </c>
    </row>
    <row r="14" spans="1:5" x14ac:dyDescent="0.2">
      <c r="A14" s="6" t="s">
        <v>232</v>
      </c>
      <c r="C14" s="17">
        <f>Assumptions!$E$50*Assumptions!$E$47*Assumptions!$E$48/1000</f>
        <v>670.14</v>
      </c>
      <c r="E14" s="10" t="s">
        <v>233</v>
      </c>
    </row>
    <row r="15" spans="1:5" x14ac:dyDescent="0.2">
      <c r="A15" s="6" t="s">
        <v>234</v>
      </c>
      <c r="C15" s="17">
        <f>Assumptions!$E$8-Build!D7</f>
        <v>414.76</v>
      </c>
      <c r="E15" s="10" t="s">
        <v>235</v>
      </c>
    </row>
    <row r="16" spans="1:5" x14ac:dyDescent="0.2">
      <c r="A16" s="29" t="s">
        <v>236</v>
      </c>
      <c r="C16" s="31">
        <f>C14-C15</f>
        <v>255.38</v>
      </c>
      <c r="E16" s="10" t="s">
        <v>237</v>
      </c>
    </row>
    <row r="17" spans="1:5" x14ac:dyDescent="0.2">
      <c r="A17" s="6" t="s">
        <v>238</v>
      </c>
      <c r="C17" s="25">
        <f>C16/C15</f>
        <v>0.6157295785514515</v>
      </c>
      <c r="E17" s="10" t="s">
        <v>239</v>
      </c>
    </row>
    <row r="19" spans="1:5" ht="15" customHeight="1" x14ac:dyDescent="0.2">
      <c r="A19" s="1" t="s">
        <v>240</v>
      </c>
      <c r="B19" s="1"/>
      <c r="C19" s="1"/>
      <c r="D19" s="1"/>
      <c r="E19" s="1"/>
    </row>
    <row r="20" spans="1:5" x14ac:dyDescent="0.2">
      <c r="A20" s="1"/>
      <c r="B20" s="1"/>
      <c r="C20" s="1"/>
      <c r="D20" s="1"/>
      <c r="E20" s="1"/>
    </row>
    <row r="21" spans="1:5" x14ac:dyDescent="0.2">
      <c r="A21" s="1"/>
      <c r="B21" s="1"/>
      <c r="C21" s="1"/>
      <c r="D21" s="1"/>
      <c r="E21" s="1"/>
    </row>
    <row r="22" spans="1:5" x14ac:dyDescent="0.2">
      <c r="A22" s="1"/>
      <c r="B22" s="1"/>
      <c r="C22" s="1"/>
      <c r="D22" s="1"/>
      <c r="E22" s="1"/>
    </row>
    <row r="23" spans="1:5" x14ac:dyDescent="0.2">
      <c r="A23" s="1"/>
      <c r="B23" s="1"/>
      <c r="C23" s="1"/>
      <c r="D23" s="1"/>
      <c r="E23" s="1"/>
    </row>
  </sheetData>
  <mergeCells count="1">
    <mergeCell ref="A19:E23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>
      <pane ySplit="4" topLeftCell="A5" activePane="bottomLeft" state="frozen"/>
      <selection pane="bottomLeft" activeCell="B35" sqref="B35"/>
    </sheetView>
  </sheetViews>
  <sheetFormatPr baseColWidth="10" defaultColWidth="8.6640625" defaultRowHeight="15" x14ac:dyDescent="0.2"/>
  <cols>
    <col min="1" max="1" width="6" customWidth="1"/>
    <col min="2" max="2" width="62" customWidth="1"/>
    <col min="3" max="3" width="58" customWidth="1"/>
    <col min="4" max="4" width="88" customWidth="1"/>
  </cols>
  <sheetData>
    <row r="1" spans="1:4" ht="19" x14ac:dyDescent="0.2">
      <c r="A1" s="7" t="s">
        <v>241</v>
      </c>
    </row>
    <row r="2" spans="1:4" x14ac:dyDescent="0.2">
      <c r="A2" s="3" t="s">
        <v>242</v>
      </c>
    </row>
    <row r="4" spans="1:4" x14ac:dyDescent="0.2">
      <c r="A4" s="26" t="s">
        <v>35</v>
      </c>
      <c r="B4" s="26" t="s">
        <v>243</v>
      </c>
      <c r="C4" s="26" t="s">
        <v>244</v>
      </c>
      <c r="D4" s="26" t="s">
        <v>245</v>
      </c>
    </row>
    <row r="5" spans="1:4" x14ac:dyDescent="0.2">
      <c r="A5" s="12" t="s">
        <v>41</v>
      </c>
      <c r="B5" s="6" t="s">
        <v>246</v>
      </c>
      <c r="C5" s="6" t="s">
        <v>42</v>
      </c>
      <c r="D5" s="32" t="s">
        <v>247</v>
      </c>
    </row>
    <row r="6" spans="1:4" x14ac:dyDescent="0.2">
      <c r="A6" s="12" t="s">
        <v>41</v>
      </c>
      <c r="B6" s="6" t="s">
        <v>248</v>
      </c>
      <c r="C6" s="6" t="s">
        <v>249</v>
      </c>
      <c r="D6" s="32" t="s">
        <v>250</v>
      </c>
    </row>
    <row r="7" spans="1:4" x14ac:dyDescent="0.2">
      <c r="A7" s="12" t="s">
        <v>41</v>
      </c>
      <c r="B7" s="6" t="s">
        <v>251</v>
      </c>
      <c r="C7" s="6" t="s">
        <v>252</v>
      </c>
      <c r="D7" s="32" t="s">
        <v>253</v>
      </c>
    </row>
    <row r="8" spans="1:4" x14ac:dyDescent="0.2">
      <c r="A8" s="12" t="s">
        <v>41</v>
      </c>
      <c r="B8" s="6" t="s">
        <v>254</v>
      </c>
      <c r="C8" s="6" t="s">
        <v>255</v>
      </c>
      <c r="D8" s="32" t="s">
        <v>256</v>
      </c>
    </row>
    <row r="9" spans="1:4" x14ac:dyDescent="0.2">
      <c r="A9" s="12" t="s">
        <v>41</v>
      </c>
      <c r="B9" s="6" t="s">
        <v>257</v>
      </c>
      <c r="C9" s="6" t="s">
        <v>258</v>
      </c>
      <c r="D9" s="32" t="s">
        <v>259</v>
      </c>
    </row>
    <row r="10" spans="1:4" x14ac:dyDescent="0.2">
      <c r="A10" s="12" t="s">
        <v>41</v>
      </c>
      <c r="B10" s="6" t="s">
        <v>260</v>
      </c>
      <c r="C10" s="6" t="s">
        <v>261</v>
      </c>
      <c r="D10" s="32" t="s">
        <v>262</v>
      </c>
    </row>
    <row r="11" spans="1:4" x14ac:dyDescent="0.2">
      <c r="A11" s="12" t="s">
        <v>41</v>
      </c>
      <c r="B11" s="6" t="s">
        <v>263</v>
      </c>
      <c r="C11" s="6" t="s">
        <v>156</v>
      </c>
      <c r="D11" s="32" t="s">
        <v>264</v>
      </c>
    </row>
    <row r="12" spans="1:4" x14ac:dyDescent="0.2">
      <c r="A12" s="12" t="s">
        <v>41</v>
      </c>
      <c r="B12" s="6" t="s">
        <v>265</v>
      </c>
      <c r="C12" s="6" t="s">
        <v>266</v>
      </c>
      <c r="D12" s="32" t="s">
        <v>267</v>
      </c>
    </row>
    <row r="13" spans="1:4" x14ac:dyDescent="0.2">
      <c r="A13" s="12" t="s">
        <v>41</v>
      </c>
      <c r="B13" s="6" t="s">
        <v>268</v>
      </c>
      <c r="C13" s="6" t="s">
        <v>269</v>
      </c>
      <c r="D13" s="32" t="s">
        <v>270</v>
      </c>
    </row>
    <row r="14" spans="1:4" x14ac:dyDescent="0.2">
      <c r="A14" s="12" t="s">
        <v>41</v>
      </c>
      <c r="B14" s="6" t="s">
        <v>271</v>
      </c>
      <c r="C14" s="6" t="s">
        <v>272</v>
      </c>
      <c r="D14" s="32" t="s">
        <v>273</v>
      </c>
    </row>
    <row r="15" spans="1:4" x14ac:dyDescent="0.2">
      <c r="A15" s="12" t="s">
        <v>74</v>
      </c>
      <c r="B15" s="6" t="s">
        <v>274</v>
      </c>
      <c r="C15" s="6" t="s">
        <v>275</v>
      </c>
      <c r="D15" s="10" t="s">
        <v>276</v>
      </c>
    </row>
    <row r="16" spans="1:4" x14ac:dyDescent="0.2">
      <c r="A16" s="12" t="s">
        <v>74</v>
      </c>
      <c r="B16" s="6" t="s">
        <v>277</v>
      </c>
      <c r="C16" s="6" t="s">
        <v>278</v>
      </c>
      <c r="D16" s="10" t="s">
        <v>279</v>
      </c>
    </row>
    <row r="17" spans="1:4" x14ac:dyDescent="0.2">
      <c r="A17" s="12" t="s">
        <v>74</v>
      </c>
      <c r="B17" s="6" t="s">
        <v>280</v>
      </c>
      <c r="C17" s="6" t="s">
        <v>281</v>
      </c>
      <c r="D17" s="10" t="s">
        <v>282</v>
      </c>
    </row>
    <row r="18" spans="1:4" x14ac:dyDescent="0.2">
      <c r="A18" s="33" t="s">
        <v>53</v>
      </c>
      <c r="B18" s="34" t="s">
        <v>283</v>
      </c>
      <c r="C18" s="34" t="s">
        <v>284</v>
      </c>
      <c r="D18" s="35" t="s">
        <v>285</v>
      </c>
    </row>
    <row r="19" spans="1:4" x14ac:dyDescent="0.2">
      <c r="A19" s="33" t="s">
        <v>53</v>
      </c>
      <c r="B19" s="34" t="s">
        <v>286</v>
      </c>
      <c r="C19" s="34" t="s">
        <v>287</v>
      </c>
      <c r="D19" s="36" t="s">
        <v>288</v>
      </c>
    </row>
    <row r="20" spans="1:4" x14ac:dyDescent="0.2">
      <c r="A20" s="33" t="s">
        <v>53</v>
      </c>
      <c r="B20" s="34" t="s">
        <v>289</v>
      </c>
      <c r="C20" s="34" t="s">
        <v>290</v>
      </c>
      <c r="D20" s="36" t="s">
        <v>291</v>
      </c>
    </row>
    <row r="21" spans="1:4" x14ac:dyDescent="0.2">
      <c r="A21" s="33" t="s">
        <v>53</v>
      </c>
      <c r="B21" s="34" t="s">
        <v>292</v>
      </c>
      <c r="C21" s="34" t="s">
        <v>293</v>
      </c>
      <c r="D21" s="35" t="s">
        <v>294</v>
      </c>
    </row>
    <row r="22" spans="1:4" x14ac:dyDescent="0.2">
      <c r="A22" s="33" t="s">
        <v>53</v>
      </c>
      <c r="B22" s="34" t="s">
        <v>295</v>
      </c>
      <c r="C22" s="34" t="s">
        <v>296</v>
      </c>
      <c r="D22" s="35" t="s">
        <v>297</v>
      </c>
    </row>
    <row r="23" spans="1:4" x14ac:dyDescent="0.2">
      <c r="A23" s="33" t="s">
        <v>53</v>
      </c>
      <c r="B23" s="34" t="s">
        <v>298</v>
      </c>
      <c r="C23" s="34" t="s">
        <v>299</v>
      </c>
      <c r="D23" s="35" t="s">
        <v>300</v>
      </c>
    </row>
    <row r="24" spans="1:4" x14ac:dyDescent="0.2">
      <c r="A24" s="33" t="s">
        <v>53</v>
      </c>
      <c r="B24" s="34" t="s">
        <v>301</v>
      </c>
      <c r="C24" s="34" t="s">
        <v>299</v>
      </c>
      <c r="D24" s="35" t="s">
        <v>302</v>
      </c>
    </row>
    <row r="25" spans="1:4" x14ac:dyDescent="0.2">
      <c r="A25" s="33" t="s">
        <v>53</v>
      </c>
      <c r="B25" s="34" t="s">
        <v>303</v>
      </c>
      <c r="C25" s="34" t="s">
        <v>299</v>
      </c>
      <c r="D25" s="35" t="s">
        <v>304</v>
      </c>
    </row>
    <row r="26" spans="1:4" x14ac:dyDescent="0.2">
      <c r="A26" s="33" t="s">
        <v>53</v>
      </c>
      <c r="B26" s="34" t="s">
        <v>305</v>
      </c>
      <c r="C26" s="34" t="s">
        <v>306</v>
      </c>
      <c r="D26" s="35" t="s">
        <v>307</v>
      </c>
    </row>
    <row r="27" spans="1:4" x14ac:dyDescent="0.2">
      <c r="A27" s="33" t="s">
        <v>53</v>
      </c>
      <c r="B27" s="34" t="s">
        <v>308</v>
      </c>
      <c r="C27" s="34" t="s">
        <v>299</v>
      </c>
      <c r="D27" s="35" t="s">
        <v>309</v>
      </c>
    </row>
    <row r="28" spans="1:4" x14ac:dyDescent="0.2">
      <c r="A28" s="33" t="s">
        <v>53</v>
      </c>
      <c r="B28" s="34" t="s">
        <v>310</v>
      </c>
      <c r="C28" s="34" t="s">
        <v>311</v>
      </c>
      <c r="D28" s="35" t="s">
        <v>312</v>
      </c>
    </row>
  </sheetData>
  <hyperlinks>
    <hyperlink ref="D5" r:id="rId1" xr:uid="{00000000-0004-0000-0500-000000000000}"/>
    <hyperlink ref="D6" r:id="rId2" xr:uid="{00000000-0004-0000-0500-000001000000}"/>
    <hyperlink ref="D7" r:id="rId3" xr:uid="{00000000-0004-0000-0500-000002000000}"/>
    <hyperlink ref="D8" r:id="rId4" xr:uid="{00000000-0004-0000-0500-000003000000}"/>
    <hyperlink ref="D9" r:id="rId5" xr:uid="{00000000-0004-0000-0500-000004000000}"/>
    <hyperlink ref="D10" r:id="rId6" xr:uid="{00000000-0004-0000-0500-000005000000}"/>
    <hyperlink ref="D11" r:id="rId7" xr:uid="{00000000-0004-0000-0500-000006000000}"/>
    <hyperlink ref="D12" r:id="rId8" xr:uid="{00000000-0004-0000-0500-000007000000}"/>
    <hyperlink ref="D13" r:id="rId9" xr:uid="{00000000-0004-0000-0500-000008000000}"/>
    <hyperlink ref="D14" r:id="rId10" xr:uid="{00000000-0004-0000-0500-000009000000}"/>
    <hyperlink ref="D19" r:id="rId11" xr:uid="{00000000-0004-0000-0500-00000A000000}"/>
    <hyperlink ref="D20" r:id="rId12" xr:uid="{00000000-0004-0000-0500-00000B000000}"/>
  </hyperlink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Assumptions</vt:lpstr>
      <vt:lpstr>Build</vt:lpstr>
      <vt:lpstr>Summary</vt:lpstr>
      <vt:lpstr>Reconciliation</vt:lpstr>
      <vt:lpstr>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Manuelrrg reyes retana</cp:lastModifiedBy>
  <cp:revision>1</cp:revision>
  <dcterms:created xsi:type="dcterms:W3CDTF">2026-08-11T16:20:29Z</dcterms:created>
  <dcterms:modified xsi:type="dcterms:W3CDTF">2026-08-11T21:51:04Z</dcterms:modified>
  <dc:language>en-US</dc:language>
</cp:coreProperties>
</file>