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8"/>
  <workbookPr/>
  <mc:AlternateContent xmlns:mc="http://schemas.openxmlformats.org/markup-compatibility/2006">
    <mc:Choice Requires="x15">
      <x15ac:absPath xmlns:x15ac="http://schemas.microsoft.com/office/spreadsheetml/2010/11/ac" url="/Users/joor/Downloads/"/>
    </mc:Choice>
  </mc:AlternateContent>
  <xr:revisionPtr revIDLastSave="0" documentId="8_{814A466A-68A8-E54B-84AC-CAC35598DE21}" xr6:coauthVersionLast="47" xr6:coauthVersionMax="47" xr10:uidLastSave="{00000000-0000-0000-0000-000000000000}"/>
  <bookViews>
    <workbookView xWindow="0" yWindow="500" windowWidth="28800" windowHeight="16260" xr2:uid="{00000000-000D-0000-FFFF-FFFF00000000}"/>
  </bookViews>
  <sheets>
    <sheet name="LBO" sheetId="2" r:id="rId1"/>
    <sheet name="Support &gt;&gt;" sheetId="7" r:id="rId2"/>
    <sheet name="Acquisition Assumptions" sheetId="5" r:id="rId3"/>
    <sheet name="Financials" sheetId="6" r:id="rId4"/>
    <sheet name="Revenue Buildup" sheetId="8" r:id="rId5"/>
    <sheet name="Headcount &amp; Compensation" sheetId="10" state="hidden" r:id="rId6"/>
    <sheet name="Operating Expenses" sheetId="11" state="hidden" r:id="rId7"/>
    <sheet name="Working Capital" sheetId="12" state="hidden" r:id="rId8"/>
    <sheet name="__tracelight_scratchpad__" sheetId="9" state="veryHidden" r:id="rId9"/>
  </sheets>
  <definedNames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"03/17/2023 11:30:23"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Area" localSheetId="2">'Acquisition Assumptions'!$A$1:$Q$163</definedName>
    <definedName name="_xlnm.Print_Area" localSheetId="3">Financials!$A$1:$P$46</definedName>
    <definedName name="_xlnm.Print_Area" localSheetId="5">'Headcount &amp; Compensation'!$A$1:$P$43</definedName>
    <definedName name="_xlnm.Print_Area" localSheetId="0">LBO!$A$1:$X$102</definedName>
    <definedName name="_xlnm.Print_Area" localSheetId="6">'Operating Expenses'!$A$1:$P$56</definedName>
    <definedName name="_xlnm.Print_Area" localSheetId="4">'Revenue Buildup'!$A$1:$P$48</definedName>
    <definedName name="_xlnm.Print_Area" localSheetId="7">'Working Capital'!$A$1:$P$48</definedName>
  </definedNames>
  <calcPr calcId="191029" calcMode="autoNoTable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91" i="5" l="1"/>
  <c r="L91" i="5"/>
  <c r="K91" i="5"/>
  <c r="I91" i="5"/>
  <c r="H91" i="5"/>
  <c r="J91" i="5"/>
  <c r="H55" i="2"/>
  <c r="I55" i="2"/>
  <c r="J55" i="2"/>
  <c r="K55" i="2"/>
  <c r="L55" i="2"/>
  <c r="H32" i="8"/>
  <c r="H36" i="8"/>
  <c r="H16" i="6"/>
  <c r="H28" i="8"/>
  <c r="H30" i="8"/>
  <c r="H29" i="8"/>
  <c r="H39" i="6"/>
  <c r="I8" i="12"/>
  <c r="J8" i="12"/>
  <c r="K8" i="12"/>
  <c r="L8" i="12"/>
  <c r="M8" i="12"/>
  <c r="N8" i="12"/>
  <c r="O8" i="12"/>
  <c r="A1" i="12" a="1"/>
  <c r="A1" i="12"/>
  <c r="I8" i="11"/>
  <c r="J8" i="11"/>
  <c r="K8" i="11"/>
  <c r="L8" i="11"/>
  <c r="M8" i="11"/>
  <c r="N8" i="11"/>
  <c r="O8" i="11"/>
  <c r="A1" i="11" a="1"/>
  <c r="A1" i="11"/>
  <c r="I8" i="10"/>
  <c r="J8" i="10"/>
  <c r="K8" i="10"/>
  <c r="L8" i="10"/>
  <c r="M8" i="10"/>
  <c r="N8" i="10"/>
  <c r="O8" i="10"/>
  <c r="A1" i="10" a="1"/>
  <c r="A1" i="10"/>
  <c r="I8" i="8"/>
  <c r="J8" i="8"/>
  <c r="K8" i="8"/>
  <c r="L8" i="8"/>
  <c r="M8" i="8"/>
  <c r="N8" i="8"/>
  <c r="O8" i="8"/>
  <c r="A1" i="8" a="1"/>
  <c r="A1" i="8"/>
  <c r="A1" i="6" a="1"/>
  <c r="A1" i="6"/>
  <c r="A1" i="5" a="1"/>
  <c r="A1" i="5"/>
  <c r="A1" i="2" a="1"/>
  <c r="A1" i="2"/>
  <c r="H23" i="12"/>
  <c r="H16" i="12"/>
  <c r="H44" i="12"/>
  <c r="I44" i="12"/>
  <c r="J44" i="12"/>
  <c r="K44" i="12"/>
  <c r="L44" i="12"/>
  <c r="M44" i="12"/>
  <c r="N44" i="12"/>
  <c r="O44" i="12"/>
  <c r="H43" i="12"/>
  <c r="I43" i="12"/>
  <c r="J43" i="12"/>
  <c r="K43" i="12"/>
  <c r="L43" i="12"/>
  <c r="M43" i="12"/>
  <c r="N43" i="12"/>
  <c r="O43" i="12"/>
  <c r="H26" i="12"/>
  <c r="H25" i="12"/>
  <c r="H24" i="12"/>
  <c r="H18" i="12"/>
  <c r="H17" i="12"/>
  <c r="H10" i="12"/>
  <c r="I10" i="12"/>
  <c r="J10" i="12"/>
  <c r="K10" i="12"/>
  <c r="L10" i="12"/>
  <c r="M10" i="12"/>
  <c r="N10" i="12"/>
  <c r="O10" i="12"/>
  <c r="H3" i="12"/>
  <c r="H6" i="12"/>
  <c r="H41" i="11"/>
  <c r="H29" i="11"/>
  <c r="H28" i="11"/>
  <c r="H27" i="11"/>
  <c r="H26" i="11"/>
  <c r="H25" i="11"/>
  <c r="H10" i="11"/>
  <c r="I10" i="11"/>
  <c r="J10" i="11"/>
  <c r="K10" i="11"/>
  <c r="L10" i="11"/>
  <c r="M10" i="11"/>
  <c r="N10" i="11"/>
  <c r="O10" i="11"/>
  <c r="H3" i="11"/>
  <c r="H6" i="11"/>
  <c r="H30" i="10"/>
  <c r="H29" i="10"/>
  <c r="H28" i="10"/>
  <c r="H27" i="10"/>
  <c r="I19" i="10"/>
  <c r="I30" i="10"/>
  <c r="I18" i="10"/>
  <c r="J18" i="10"/>
  <c r="I17" i="10"/>
  <c r="I16" i="10"/>
  <c r="I27" i="10"/>
  <c r="H21" i="10"/>
  <c r="H38" i="10"/>
  <c r="H10" i="10"/>
  <c r="I10" i="10"/>
  <c r="J10" i="10"/>
  <c r="K10" i="10"/>
  <c r="L10" i="10"/>
  <c r="M10" i="10"/>
  <c r="N10" i="10"/>
  <c r="O10" i="10"/>
  <c r="H3" i="10"/>
  <c r="H6" i="10"/>
  <c r="H44" i="8"/>
  <c r="I18" i="8"/>
  <c r="J18" i="8"/>
  <c r="K18" i="8"/>
  <c r="L18" i="8"/>
  <c r="M18" i="8"/>
  <c r="N18" i="8"/>
  <c r="O18" i="8"/>
  <c r="I17" i="8"/>
  <c r="J17" i="8"/>
  <c r="K17" i="8"/>
  <c r="L17" i="8"/>
  <c r="M17" i="8"/>
  <c r="N17" i="8"/>
  <c r="O17" i="8"/>
  <c r="I16" i="8"/>
  <c r="H20" i="8"/>
  <c r="H3" i="8"/>
  <c r="H6" i="8"/>
  <c r="N19" i="2"/>
  <c r="L34" i="2"/>
  <c r="W34" i="2"/>
  <c r="K34" i="2"/>
  <c r="V34" i="2"/>
  <c r="J34" i="2"/>
  <c r="U34" i="2"/>
  <c r="I34" i="2"/>
  <c r="T34" i="2"/>
  <c r="H34" i="2"/>
  <c r="S34" i="2"/>
  <c r="G34" i="2"/>
  <c r="G33" i="2"/>
  <c r="G28" i="2"/>
  <c r="I8" i="5"/>
  <c r="J8" i="5"/>
  <c r="H8" i="6"/>
  <c r="I8" i="6"/>
  <c r="J8" i="6"/>
  <c r="K8" i="6"/>
  <c r="L8" i="6"/>
  <c r="M8" i="6"/>
  <c r="N8" i="6"/>
  <c r="O8" i="6"/>
  <c r="I3" i="6"/>
  <c r="J3" i="6"/>
  <c r="J4" i="6"/>
  <c r="J4" i="11"/>
  <c r="J7" i="11"/>
  <c r="H4" i="6"/>
  <c r="H7" i="6"/>
  <c r="I3" i="5"/>
  <c r="J3" i="5"/>
  <c r="H4" i="5"/>
  <c r="H10" i="5"/>
  <c r="G35" i="2"/>
  <c r="H13" i="6"/>
  <c r="H21" i="8"/>
  <c r="J16" i="10"/>
  <c r="J27" i="10"/>
  <c r="H32" i="10"/>
  <c r="H40" i="10"/>
  <c r="H16" i="11"/>
  <c r="I21" i="10"/>
  <c r="H43" i="8"/>
  <c r="J16" i="8"/>
  <c r="K16" i="8"/>
  <c r="J4" i="10"/>
  <c r="J7" i="10"/>
  <c r="I3" i="12"/>
  <c r="I6" i="12"/>
  <c r="I3" i="10"/>
  <c r="I6" i="10"/>
  <c r="J3" i="11"/>
  <c r="J6" i="11"/>
  <c r="J4" i="12"/>
  <c r="J7" i="12"/>
  <c r="H4" i="10"/>
  <c r="H7" i="10"/>
  <c r="J4" i="8"/>
  <c r="J7" i="8"/>
  <c r="J3" i="12"/>
  <c r="J6" i="12"/>
  <c r="I3" i="11"/>
  <c r="I6" i="11"/>
  <c r="J3" i="8"/>
  <c r="J6" i="8"/>
  <c r="H4" i="12"/>
  <c r="H7" i="12"/>
  <c r="H28" i="12"/>
  <c r="I3" i="8"/>
  <c r="I6" i="8"/>
  <c r="H4" i="11"/>
  <c r="H7" i="11"/>
  <c r="H4" i="8"/>
  <c r="H7" i="8"/>
  <c r="H31" i="11"/>
  <c r="H53" i="11"/>
  <c r="H20" i="12"/>
  <c r="J3" i="10"/>
  <c r="J6" i="10"/>
  <c r="H33" i="2"/>
  <c r="S33" i="2"/>
  <c r="G29" i="2"/>
  <c r="K8" i="5"/>
  <c r="I33" i="2"/>
  <c r="T33" i="2"/>
  <c r="J4" i="5"/>
  <c r="J7" i="5"/>
  <c r="I32" i="2"/>
  <c r="T32" i="2"/>
  <c r="I28" i="2"/>
  <c r="T28" i="2"/>
  <c r="H28" i="2"/>
  <c r="S28" i="2"/>
  <c r="I4" i="5"/>
  <c r="I6" i="5"/>
  <c r="H31" i="2"/>
  <c r="S31" i="2"/>
  <c r="H17" i="11"/>
  <c r="H19" i="11"/>
  <c r="K18" i="10"/>
  <c r="J29" i="10"/>
  <c r="J17" i="10"/>
  <c r="J19" i="10"/>
  <c r="I28" i="10"/>
  <c r="I29" i="10"/>
  <c r="H39" i="10"/>
  <c r="K20" i="8"/>
  <c r="K13" i="6"/>
  <c r="J20" i="8"/>
  <c r="J13" i="6"/>
  <c r="I20" i="8"/>
  <c r="J7" i="6"/>
  <c r="J5" i="6"/>
  <c r="J6" i="6"/>
  <c r="I4" i="6"/>
  <c r="H5" i="6"/>
  <c r="H6" i="6"/>
  <c r="K3" i="6"/>
  <c r="K3" i="5"/>
  <c r="J28" i="2"/>
  <c r="U28" i="2"/>
  <c r="H6" i="5"/>
  <c r="G31" i="2"/>
  <c r="H5" i="5"/>
  <c r="G30" i="2"/>
  <c r="H7" i="5"/>
  <c r="G32" i="2"/>
  <c r="H32" i="12"/>
  <c r="H39" i="12"/>
  <c r="H40" i="12"/>
  <c r="K14" i="6"/>
  <c r="I13" i="6"/>
  <c r="J14" i="6"/>
  <c r="K16" i="10"/>
  <c r="L16" i="8"/>
  <c r="L20" i="8"/>
  <c r="L13" i="6"/>
  <c r="L14" i="6"/>
  <c r="H45" i="12"/>
  <c r="I32" i="10"/>
  <c r="I16" i="11"/>
  <c r="K3" i="12"/>
  <c r="K6" i="12"/>
  <c r="K3" i="10"/>
  <c r="K6" i="10"/>
  <c r="K3" i="8"/>
  <c r="K6" i="8"/>
  <c r="K3" i="11"/>
  <c r="K6" i="11"/>
  <c r="H5" i="11"/>
  <c r="H5" i="12"/>
  <c r="H5" i="10"/>
  <c r="H5" i="8"/>
  <c r="J5" i="8"/>
  <c r="J5" i="11"/>
  <c r="J5" i="12"/>
  <c r="J5" i="10"/>
  <c r="H33" i="12"/>
  <c r="I4" i="8"/>
  <c r="I7" i="8"/>
  <c r="I4" i="11"/>
  <c r="I7" i="11"/>
  <c r="I4" i="12"/>
  <c r="I7" i="12"/>
  <c r="I4" i="10"/>
  <c r="I7" i="10"/>
  <c r="J6" i="5"/>
  <c r="I31" i="2"/>
  <c r="T31" i="2"/>
  <c r="J10" i="5"/>
  <c r="I35" i="2"/>
  <c r="T35" i="2"/>
  <c r="I29" i="2"/>
  <c r="T29" i="2"/>
  <c r="I10" i="5"/>
  <c r="H35" i="2"/>
  <c r="S35" i="2"/>
  <c r="I7" i="5"/>
  <c r="H32" i="2"/>
  <c r="S32" i="2"/>
  <c r="H29" i="2"/>
  <c r="S29" i="2"/>
  <c r="J5" i="5"/>
  <c r="I30" i="2"/>
  <c r="T30" i="2"/>
  <c r="I5" i="5"/>
  <c r="H30" i="2"/>
  <c r="S30" i="2"/>
  <c r="L8" i="5"/>
  <c r="J33" i="2"/>
  <c r="U33" i="2"/>
  <c r="H52" i="11"/>
  <c r="H35" i="11"/>
  <c r="I40" i="10"/>
  <c r="K29" i="10"/>
  <c r="L18" i="10"/>
  <c r="J30" i="10"/>
  <c r="K19" i="10"/>
  <c r="K17" i="10"/>
  <c r="J21" i="10"/>
  <c r="J28" i="10"/>
  <c r="L16" i="10"/>
  <c r="K27" i="10"/>
  <c r="M16" i="8"/>
  <c r="I6" i="6"/>
  <c r="I7" i="6"/>
  <c r="I5" i="6"/>
  <c r="K4" i="6"/>
  <c r="L3" i="6"/>
  <c r="K4" i="5"/>
  <c r="J29" i="2"/>
  <c r="U29" i="2"/>
  <c r="L3" i="5"/>
  <c r="K28" i="2"/>
  <c r="V28" i="2"/>
  <c r="I21" i="8"/>
  <c r="K21" i="10"/>
  <c r="I17" i="11"/>
  <c r="I19" i="11"/>
  <c r="L3" i="12"/>
  <c r="L6" i="12"/>
  <c r="L3" i="10"/>
  <c r="L6" i="10"/>
  <c r="L3" i="11"/>
  <c r="L6" i="11"/>
  <c r="L3" i="8"/>
  <c r="L6" i="8"/>
  <c r="I5" i="8"/>
  <c r="I5" i="11"/>
  <c r="I5" i="12"/>
  <c r="I5" i="10"/>
  <c r="K4" i="8"/>
  <c r="K7" i="8"/>
  <c r="K4" i="11"/>
  <c r="K7" i="11"/>
  <c r="K4" i="10"/>
  <c r="K7" i="10"/>
  <c r="K4" i="12"/>
  <c r="K7" i="12"/>
  <c r="M8" i="5"/>
  <c r="L33" i="2"/>
  <c r="W33" i="2"/>
  <c r="K33" i="2"/>
  <c r="V33" i="2"/>
  <c r="H51" i="11"/>
  <c r="H42" i="11"/>
  <c r="H44" i="11"/>
  <c r="H45" i="11"/>
  <c r="L27" i="10"/>
  <c r="M16" i="10"/>
  <c r="L17" i="10"/>
  <c r="K28" i="10"/>
  <c r="K30" i="10"/>
  <c r="L19" i="10"/>
  <c r="L29" i="10"/>
  <c r="M18" i="10"/>
  <c r="J32" i="10"/>
  <c r="J16" i="11"/>
  <c r="N16" i="8"/>
  <c r="M20" i="8"/>
  <c r="M13" i="6"/>
  <c r="M14" i="6"/>
  <c r="K5" i="6"/>
  <c r="K7" i="6"/>
  <c r="K6" i="6"/>
  <c r="L4" i="6"/>
  <c r="M3" i="6"/>
  <c r="K10" i="5"/>
  <c r="J35" i="2"/>
  <c r="U35" i="2"/>
  <c r="K6" i="5"/>
  <c r="J31" i="2"/>
  <c r="U31" i="2"/>
  <c r="K7" i="5"/>
  <c r="J32" i="2"/>
  <c r="U32" i="2"/>
  <c r="K5" i="5"/>
  <c r="J30" i="2"/>
  <c r="U30" i="2"/>
  <c r="L4" i="5"/>
  <c r="K29" i="2"/>
  <c r="V29" i="2"/>
  <c r="M3" i="5"/>
  <c r="K32" i="10"/>
  <c r="K16" i="11"/>
  <c r="K17" i="11"/>
  <c r="K19" i="11"/>
  <c r="J17" i="11"/>
  <c r="J19" i="11"/>
  <c r="K5" i="8"/>
  <c r="K5" i="11"/>
  <c r="K5" i="12"/>
  <c r="K5" i="10"/>
  <c r="M3" i="11"/>
  <c r="M6" i="11"/>
  <c r="M3" i="12"/>
  <c r="M6" i="12"/>
  <c r="M3" i="10"/>
  <c r="M6" i="10"/>
  <c r="M3" i="8"/>
  <c r="M6" i="8"/>
  <c r="L4" i="10"/>
  <c r="L7" i="10"/>
  <c r="L4" i="8"/>
  <c r="L7" i="8"/>
  <c r="L4" i="12"/>
  <c r="L7" i="12"/>
  <c r="L4" i="11"/>
  <c r="L7" i="11"/>
  <c r="M4" i="5"/>
  <c r="L29" i="2"/>
  <c r="W29" i="2"/>
  <c r="L28" i="2"/>
  <c r="W28" i="2"/>
  <c r="J40" i="10"/>
  <c r="L30" i="10"/>
  <c r="M19" i="10"/>
  <c r="L28" i="10"/>
  <c r="L32" i="10"/>
  <c r="L16" i="11"/>
  <c r="L17" i="11"/>
  <c r="L19" i="11"/>
  <c r="M17" i="10"/>
  <c r="M21" i="10"/>
  <c r="N18" i="10"/>
  <c r="M29" i="10"/>
  <c r="M27" i="10"/>
  <c r="N16" i="10"/>
  <c r="L21" i="10"/>
  <c r="O16" i="8"/>
  <c r="N20" i="8"/>
  <c r="N13" i="6"/>
  <c r="N14" i="6"/>
  <c r="L6" i="6"/>
  <c r="L7" i="6"/>
  <c r="L5" i="6"/>
  <c r="M4" i="6"/>
  <c r="N3" i="6"/>
  <c r="M6" i="5"/>
  <c r="L31" i="2"/>
  <c r="W31" i="2"/>
  <c r="M7" i="5"/>
  <c r="L32" i="2"/>
  <c r="W32" i="2"/>
  <c r="M10" i="5"/>
  <c r="L35" i="2"/>
  <c r="W35" i="2"/>
  <c r="M5" i="5"/>
  <c r="L30" i="2"/>
  <c r="L6" i="5"/>
  <c r="K31" i="2"/>
  <c r="V31" i="2"/>
  <c r="L7" i="5"/>
  <c r="K32" i="2"/>
  <c r="V32" i="2"/>
  <c r="L10" i="5"/>
  <c r="K35" i="2"/>
  <c r="V35" i="2"/>
  <c r="L5" i="5"/>
  <c r="K30" i="2"/>
  <c r="K40" i="10"/>
  <c r="N3" i="11"/>
  <c r="N6" i="11"/>
  <c r="N3" i="12"/>
  <c r="N6" i="12"/>
  <c r="N3" i="10"/>
  <c r="N6" i="10"/>
  <c r="N3" i="8"/>
  <c r="N6" i="8"/>
  <c r="M4" i="12"/>
  <c r="M7" i="12"/>
  <c r="M4" i="10"/>
  <c r="M7" i="10"/>
  <c r="M4" i="8"/>
  <c r="M7" i="8"/>
  <c r="M4" i="11"/>
  <c r="M7" i="11"/>
  <c r="L5" i="11"/>
  <c r="L5" i="8"/>
  <c r="L5" i="12"/>
  <c r="L5" i="10"/>
  <c r="W30" i="2"/>
  <c r="L67" i="2"/>
  <c r="K67" i="2"/>
  <c r="V30" i="2"/>
  <c r="L40" i="10"/>
  <c r="N27" i="10"/>
  <c r="O16" i="10"/>
  <c r="M28" i="10"/>
  <c r="N17" i="10"/>
  <c r="M30" i="10"/>
  <c r="N19" i="10"/>
  <c r="O18" i="10"/>
  <c r="O29" i="10"/>
  <c r="N29" i="10"/>
  <c r="O20" i="8"/>
  <c r="O13" i="6"/>
  <c r="O14" i="6"/>
  <c r="M5" i="6"/>
  <c r="M6" i="6"/>
  <c r="M7" i="6"/>
  <c r="O3" i="6"/>
  <c r="N4" i="6"/>
  <c r="M32" i="10"/>
  <c r="M16" i="11"/>
  <c r="N4" i="12"/>
  <c r="N7" i="12"/>
  <c r="N4" i="10"/>
  <c r="N7" i="10"/>
  <c r="N4" i="8"/>
  <c r="N7" i="8"/>
  <c r="N4" i="11"/>
  <c r="N7" i="11"/>
  <c r="M5" i="8"/>
  <c r="M5" i="11"/>
  <c r="M5" i="10"/>
  <c r="M5" i="12"/>
  <c r="O4" i="6"/>
  <c r="O5" i="6"/>
  <c r="O3" i="8"/>
  <c r="O6" i="8"/>
  <c r="O3" i="11"/>
  <c r="O6" i="11"/>
  <c r="O3" i="12"/>
  <c r="O6" i="12"/>
  <c r="O3" i="10"/>
  <c r="O6" i="10"/>
  <c r="M40" i="10"/>
  <c r="O17" i="10"/>
  <c r="O28" i="10"/>
  <c r="N28" i="10"/>
  <c r="N32" i="10"/>
  <c r="N16" i="11"/>
  <c r="N17" i="11"/>
  <c r="N19" i="11"/>
  <c r="O27" i="10"/>
  <c r="N21" i="10"/>
  <c r="N30" i="10"/>
  <c r="O19" i="10"/>
  <c r="O30" i="10"/>
  <c r="N6" i="6"/>
  <c r="N7" i="6"/>
  <c r="N5" i="6"/>
  <c r="P10" i="5"/>
  <c r="H37" i="6"/>
  <c r="I34" i="6"/>
  <c r="H32" i="6"/>
  <c r="I25" i="6"/>
  <c r="I28" i="6"/>
  <c r="H25" i="6"/>
  <c r="H28" i="6"/>
  <c r="H42" i="6"/>
  <c r="H23" i="6"/>
  <c r="H20" i="6"/>
  <c r="I14" i="6"/>
  <c r="M160" i="5"/>
  <c r="M157" i="5"/>
  <c r="M154" i="5"/>
  <c r="L150" i="5"/>
  <c r="L69" i="5"/>
  <c r="L148" i="5"/>
  <c r="L146" i="5"/>
  <c r="L144" i="5"/>
  <c r="L138" i="5"/>
  <c r="M138" i="5"/>
  <c r="L135" i="5"/>
  <c r="M135" i="5"/>
  <c r="L132" i="5"/>
  <c r="M132" i="5"/>
  <c r="K128" i="5"/>
  <c r="K68" i="5"/>
  <c r="K126" i="5"/>
  <c r="K124" i="5"/>
  <c r="K122" i="5"/>
  <c r="K116" i="5"/>
  <c r="L116" i="5"/>
  <c r="M116" i="5"/>
  <c r="K113" i="5"/>
  <c r="L113" i="5"/>
  <c r="M113" i="5"/>
  <c r="K110" i="5"/>
  <c r="L110" i="5"/>
  <c r="M110" i="5"/>
  <c r="J106" i="5"/>
  <c r="J67" i="5"/>
  <c r="J104" i="5"/>
  <c r="J102" i="5"/>
  <c r="J100" i="5"/>
  <c r="M35" i="5"/>
  <c r="H35" i="5"/>
  <c r="Q53" i="2"/>
  <c r="T16" i="2"/>
  <c r="O7" i="6"/>
  <c r="O21" i="10"/>
  <c r="O32" i="10"/>
  <c r="O16" i="11"/>
  <c r="O17" i="11"/>
  <c r="O19" i="11"/>
  <c r="M17" i="11"/>
  <c r="M19" i="11"/>
  <c r="O5" i="12"/>
  <c r="O5" i="10"/>
  <c r="O5" i="8"/>
  <c r="O5" i="11"/>
  <c r="O4" i="11"/>
  <c r="O7" i="11"/>
  <c r="O4" i="12"/>
  <c r="O7" i="12"/>
  <c r="O4" i="10"/>
  <c r="O7" i="10"/>
  <c r="O4" i="8"/>
  <c r="O7" i="8"/>
  <c r="O6" i="6"/>
  <c r="J21" i="8"/>
  <c r="N5" i="10"/>
  <c r="N5" i="8"/>
  <c r="N5" i="11"/>
  <c r="N5" i="12"/>
  <c r="L159" i="5"/>
  <c r="L88" i="5"/>
  <c r="L63" i="5"/>
  <c r="K35" i="5"/>
  <c r="K131" i="5"/>
  <c r="K75" i="5"/>
  <c r="K62" i="5"/>
  <c r="I35" i="5"/>
  <c r="J35" i="5"/>
  <c r="J109" i="5"/>
  <c r="J74" i="5"/>
  <c r="J61" i="5"/>
  <c r="L35" i="5"/>
  <c r="N40" i="10"/>
  <c r="O40" i="10"/>
  <c r="L153" i="5"/>
  <c r="L76" i="5"/>
  <c r="J112" i="5"/>
  <c r="J80" i="5"/>
  <c r="L156" i="5"/>
  <c r="L82" i="5"/>
  <c r="K134" i="5"/>
  <c r="K81" i="5"/>
  <c r="K137" i="5"/>
  <c r="K87" i="5"/>
  <c r="L126" i="5"/>
  <c r="L62" i="5"/>
  <c r="I42" i="6"/>
  <c r="M148" i="5"/>
  <c r="M63" i="5"/>
  <c r="K104" i="5"/>
  <c r="K61" i="5"/>
  <c r="H26" i="6"/>
  <c r="I39" i="6"/>
  <c r="J115" i="5"/>
  <c r="J86" i="5"/>
  <c r="Q60" i="2"/>
  <c r="T17" i="2"/>
  <c r="K21" i="8"/>
  <c r="L134" i="5"/>
  <c r="L81" i="5"/>
  <c r="L131" i="5"/>
  <c r="L75" i="5"/>
  <c r="M156" i="5"/>
  <c r="M82" i="5"/>
  <c r="M153" i="5"/>
  <c r="M76" i="5"/>
  <c r="K112" i="5"/>
  <c r="K80" i="5"/>
  <c r="K109" i="5"/>
  <c r="K74" i="5"/>
  <c r="M150" i="5"/>
  <c r="M69" i="5"/>
  <c r="M159" i="5"/>
  <c r="M88" i="5"/>
  <c r="L128" i="5"/>
  <c r="L68" i="5"/>
  <c r="M126" i="5"/>
  <c r="M62" i="5"/>
  <c r="L137" i="5"/>
  <c r="L87" i="5"/>
  <c r="K115" i="5"/>
  <c r="K86" i="5"/>
  <c r="L104" i="5"/>
  <c r="L61" i="5"/>
  <c r="K106" i="5"/>
  <c r="K67" i="5"/>
  <c r="F85" i="2"/>
  <c r="G98" i="2"/>
  <c r="I95" i="2"/>
  <c r="L21" i="8"/>
  <c r="L112" i="5"/>
  <c r="L80" i="5"/>
  <c r="L109" i="5"/>
  <c r="L74" i="5"/>
  <c r="M134" i="5"/>
  <c r="M81" i="5"/>
  <c r="M131" i="5"/>
  <c r="M75" i="5"/>
  <c r="M128" i="5"/>
  <c r="M68" i="5"/>
  <c r="M137" i="5"/>
  <c r="M87" i="5"/>
  <c r="M104" i="5"/>
  <c r="M61" i="5"/>
  <c r="L106" i="5"/>
  <c r="L67" i="5"/>
  <c r="L115" i="5"/>
  <c r="L86" i="5"/>
  <c r="F84" i="2"/>
  <c r="G97" i="2"/>
  <c r="F86" i="2"/>
  <c r="G99" i="2"/>
  <c r="J95" i="2"/>
  <c r="K95" i="2"/>
  <c r="L95" i="2"/>
  <c r="M95" i="2"/>
  <c r="T15" i="2"/>
  <c r="Q48" i="2"/>
  <c r="Q14" i="2"/>
  <c r="P40" i="2"/>
  <c r="E69" i="2"/>
  <c r="N21" i="2"/>
  <c r="N17" i="2"/>
  <c r="AC7" i="2"/>
  <c r="M21" i="8"/>
  <c r="J87" i="2"/>
  <c r="J86" i="2"/>
  <c r="J85" i="2"/>
  <c r="J84" i="2"/>
  <c r="J83" i="2"/>
  <c r="M112" i="5"/>
  <c r="M80" i="5"/>
  <c r="M109" i="5"/>
  <c r="M74" i="5"/>
  <c r="F87" i="2"/>
  <c r="G100" i="2"/>
  <c r="M106" i="5"/>
  <c r="M67" i="5"/>
  <c r="M115" i="5"/>
  <c r="M86" i="5"/>
  <c r="F83" i="2"/>
  <c r="G96" i="2"/>
  <c r="AC8" i="2"/>
  <c r="AC9" i="2"/>
  <c r="I67" i="2"/>
  <c r="H67" i="2"/>
  <c r="O21" i="8"/>
  <c r="N21" i="8"/>
  <c r="AC10" i="2"/>
  <c r="AC11" i="2"/>
  <c r="AC12" i="2"/>
  <c r="AC13" i="2"/>
  <c r="J67" i="2"/>
  <c r="I27" i="8"/>
  <c r="H45" i="8"/>
  <c r="I30" i="8"/>
  <c r="I44" i="8"/>
  <c r="I29" i="8"/>
  <c r="I43" i="8"/>
  <c r="H33" i="8"/>
  <c r="H37" i="8"/>
  <c r="I28" i="8"/>
  <c r="I32" i="8"/>
  <c r="I45" i="8"/>
  <c r="J27" i="8"/>
  <c r="I36" i="8"/>
  <c r="I33" i="8"/>
  <c r="I16" i="6"/>
  <c r="J29" i="8"/>
  <c r="J30" i="8"/>
  <c r="J44" i="8"/>
  <c r="I29" i="11"/>
  <c r="I17" i="12"/>
  <c r="I16" i="12"/>
  <c r="I25" i="12"/>
  <c r="I28" i="11"/>
  <c r="I26" i="11"/>
  <c r="I24" i="12"/>
  <c r="I27" i="11"/>
  <c r="I18" i="12"/>
  <c r="I41" i="11"/>
  <c r="I25" i="11"/>
  <c r="I23" i="12"/>
  <c r="I26" i="12"/>
  <c r="I38" i="10"/>
  <c r="I39" i="10"/>
  <c r="I52" i="11"/>
  <c r="I23" i="6"/>
  <c r="I17" i="6"/>
  <c r="I32" i="6"/>
  <c r="I37" i="6"/>
  <c r="I20" i="6"/>
  <c r="I26" i="6"/>
  <c r="I37" i="8"/>
  <c r="J28" i="8"/>
  <c r="J32" i="8"/>
  <c r="J43" i="8"/>
  <c r="I20" i="12"/>
  <c r="I28" i="12"/>
  <c r="I32" i="12"/>
  <c r="I31" i="11"/>
  <c r="J45" i="8"/>
  <c r="I53" i="11"/>
  <c r="I35" i="11"/>
  <c r="I45" i="12"/>
  <c r="I33" i="12"/>
  <c r="I39" i="12"/>
  <c r="I40" i="12"/>
  <c r="K27" i="8"/>
  <c r="J36" i="8"/>
  <c r="J33" i="8"/>
  <c r="J16" i="6"/>
  <c r="J37" i="8"/>
  <c r="I51" i="11"/>
  <c r="I42" i="11"/>
  <c r="I44" i="11"/>
  <c r="I45" i="11"/>
  <c r="K29" i="8"/>
  <c r="K30" i="8"/>
  <c r="K44" i="8"/>
  <c r="K28" i="8"/>
  <c r="J17" i="6"/>
  <c r="J23" i="12"/>
  <c r="J24" i="12"/>
  <c r="J27" i="11"/>
  <c r="J29" i="11"/>
  <c r="J28" i="11"/>
  <c r="J41" i="11"/>
  <c r="J25" i="11"/>
  <c r="J18" i="12"/>
  <c r="J26" i="11"/>
  <c r="J25" i="12"/>
  <c r="H41" i="5"/>
  <c r="H60" i="5"/>
  <c r="J36" i="6"/>
  <c r="H52" i="5"/>
  <c r="J26" i="12"/>
  <c r="J17" i="12"/>
  <c r="J52" i="11"/>
  <c r="J38" i="10"/>
  <c r="J39" i="10"/>
  <c r="J31" i="6"/>
  <c r="J34" i="6"/>
  <c r="H55" i="5"/>
  <c r="J22" i="6"/>
  <c r="H47" i="5"/>
  <c r="J19" i="6"/>
  <c r="J16" i="12"/>
  <c r="K43" i="8"/>
  <c r="H85" i="5"/>
  <c r="H56" i="5"/>
  <c r="J31" i="11"/>
  <c r="J20" i="12"/>
  <c r="J25" i="6"/>
  <c r="H44" i="5"/>
  <c r="J39" i="6"/>
  <c r="H53" i="5"/>
  <c r="H79" i="5"/>
  <c r="H64" i="5"/>
  <c r="H17" i="5"/>
  <c r="H16" i="5"/>
  <c r="H15" i="5" a="1"/>
  <c r="H15" i="5"/>
  <c r="G37" i="2"/>
  <c r="J28" i="12"/>
  <c r="H73" i="5"/>
  <c r="H48" i="5"/>
  <c r="K45" i="8"/>
  <c r="K32" i="8"/>
  <c r="H83" i="5"/>
  <c r="H29" i="5"/>
  <c r="H28" i="5"/>
  <c r="H27" i="5" a="1"/>
  <c r="H27" i="5"/>
  <c r="J53" i="11"/>
  <c r="J35" i="11"/>
  <c r="L27" i="8"/>
  <c r="K36" i="8"/>
  <c r="K33" i="8"/>
  <c r="H66" i="5"/>
  <c r="H45" i="5"/>
  <c r="J28" i="6"/>
  <c r="J42" i="6"/>
  <c r="J26" i="6"/>
  <c r="H77" i="5"/>
  <c r="H25" i="5"/>
  <c r="H24" i="5"/>
  <c r="H23" i="5" a="1"/>
  <c r="H23" i="5"/>
  <c r="G39" i="2"/>
  <c r="J32" i="12"/>
  <c r="H32" i="5"/>
  <c r="H31" i="5" a="1"/>
  <c r="H31" i="5"/>
  <c r="H89" i="5"/>
  <c r="H33" i="5"/>
  <c r="H70" i="5"/>
  <c r="H21" i="5"/>
  <c r="H20" i="5"/>
  <c r="H19" i="5" a="1"/>
  <c r="H19" i="5"/>
  <c r="G38" i="2"/>
  <c r="G40" i="2"/>
  <c r="K16" i="6"/>
  <c r="L30" i="8"/>
  <c r="L44" i="8"/>
  <c r="L29" i="8"/>
  <c r="J45" i="12"/>
  <c r="J39" i="12"/>
  <c r="J40" i="12"/>
  <c r="J33" i="12"/>
  <c r="J51" i="11"/>
  <c r="J42" i="11"/>
  <c r="J44" i="11"/>
  <c r="J45" i="11"/>
  <c r="L28" i="8"/>
  <c r="L43" i="8"/>
  <c r="K17" i="6"/>
  <c r="K41" i="11"/>
  <c r="K23" i="12"/>
  <c r="K36" i="6"/>
  <c r="I52" i="5"/>
  <c r="I41" i="5"/>
  <c r="K31" i="6"/>
  <c r="K34" i="6"/>
  <c r="I55" i="5"/>
  <c r="K22" i="6"/>
  <c r="I47" i="5"/>
  <c r="K29" i="11"/>
  <c r="K38" i="10"/>
  <c r="K39" i="10"/>
  <c r="K25" i="11"/>
  <c r="K26" i="11"/>
  <c r="K16" i="12"/>
  <c r="K24" i="12"/>
  <c r="K28" i="11"/>
  <c r="K26" i="12"/>
  <c r="K18" i="12"/>
  <c r="K25" i="12"/>
  <c r="K27" i="11"/>
  <c r="K52" i="11"/>
  <c r="K19" i="6"/>
  <c r="K17" i="12"/>
  <c r="K37" i="8"/>
  <c r="I73" i="5"/>
  <c r="I48" i="5"/>
  <c r="I60" i="5"/>
  <c r="I42" i="5"/>
  <c r="I79" i="5"/>
  <c r="I53" i="5"/>
  <c r="K28" i="12"/>
  <c r="I44" i="5"/>
  <c r="K25" i="6"/>
  <c r="K39" i="6"/>
  <c r="I56" i="5"/>
  <c r="I85" i="5"/>
  <c r="K20" i="12"/>
  <c r="K31" i="11"/>
  <c r="L32" i="8"/>
  <c r="L45" i="8"/>
  <c r="K28" i="6"/>
  <c r="K42" i="6"/>
  <c r="K26" i="6"/>
  <c r="I66" i="5"/>
  <c r="I45" i="5"/>
  <c r="M27" i="8"/>
  <c r="L36" i="8"/>
  <c r="L33" i="8"/>
  <c r="I83" i="5"/>
  <c r="I29" i="5"/>
  <c r="I28" i="5"/>
  <c r="I27" i="5" a="1"/>
  <c r="I27" i="5"/>
  <c r="H54" i="2"/>
  <c r="I89" i="5"/>
  <c r="I33" i="5"/>
  <c r="I32" i="5"/>
  <c r="I31" i="5" a="1"/>
  <c r="I31" i="5"/>
  <c r="H56" i="2"/>
  <c r="K53" i="11"/>
  <c r="K35" i="11"/>
  <c r="K32" i="12"/>
  <c r="I16" i="5"/>
  <c r="I15" i="5" a="1"/>
  <c r="I15" i="5"/>
  <c r="H37" i="2"/>
  <c r="I64" i="5"/>
  <c r="I17" i="5"/>
  <c r="I24" i="5"/>
  <c r="I23" i="5" a="1"/>
  <c r="I23" i="5"/>
  <c r="H39" i="2"/>
  <c r="H53" i="2"/>
  <c r="I77" i="5"/>
  <c r="I25" i="5"/>
  <c r="L16" i="6"/>
  <c r="K33" i="12"/>
  <c r="K39" i="12"/>
  <c r="K40" i="12"/>
  <c r="K45" i="12"/>
  <c r="I70" i="5"/>
  <c r="I21" i="5"/>
  <c r="I20" i="5"/>
  <c r="I19" i="5" a="1"/>
  <c r="I19" i="5"/>
  <c r="M30" i="8"/>
  <c r="M44" i="8"/>
  <c r="M29" i="8"/>
  <c r="K42" i="11"/>
  <c r="K44" i="11"/>
  <c r="K45" i="11"/>
  <c r="K51" i="11"/>
  <c r="Q15" i="2"/>
  <c r="H38" i="2"/>
  <c r="H40" i="2"/>
  <c r="L17" i="6"/>
  <c r="L25" i="11"/>
  <c r="L22" i="6"/>
  <c r="J47" i="5"/>
  <c r="J41" i="5"/>
  <c r="L26" i="11"/>
  <c r="L24" i="12"/>
  <c r="L19" i="6"/>
  <c r="L28" i="11"/>
  <c r="L27" i="11"/>
  <c r="L36" i="6"/>
  <c r="J52" i="5"/>
  <c r="L25" i="12"/>
  <c r="L23" i="12"/>
  <c r="L18" i="12"/>
  <c r="L16" i="12"/>
  <c r="L20" i="12"/>
  <c r="L26" i="12"/>
  <c r="L52" i="11"/>
  <c r="L29" i="11"/>
  <c r="L38" i="10"/>
  <c r="L17" i="12"/>
  <c r="L39" i="10"/>
  <c r="L41" i="11"/>
  <c r="L31" i="6"/>
  <c r="L34" i="6"/>
  <c r="J55" i="5"/>
  <c r="L37" i="8"/>
  <c r="M43" i="8"/>
  <c r="M28" i="8"/>
  <c r="M45" i="8"/>
  <c r="M32" i="8"/>
  <c r="J73" i="5"/>
  <c r="J48" i="5"/>
  <c r="J85" i="5"/>
  <c r="J56" i="5"/>
  <c r="L28" i="12"/>
  <c r="L32" i="12"/>
  <c r="L31" i="11"/>
  <c r="L25" i="6"/>
  <c r="J44" i="5"/>
  <c r="L39" i="6"/>
  <c r="J42" i="5"/>
  <c r="J60" i="5"/>
  <c r="J79" i="5"/>
  <c r="J53" i="5"/>
  <c r="F15" i="2"/>
  <c r="F16" i="2"/>
  <c r="F22" i="2"/>
  <c r="H22" i="2"/>
  <c r="H15" i="2"/>
  <c r="S41" i="2"/>
  <c r="L28" i="6"/>
  <c r="L42" i="6"/>
  <c r="L26" i="6"/>
  <c r="L53" i="11"/>
  <c r="L35" i="11"/>
  <c r="N14" i="2"/>
  <c r="J32" i="5"/>
  <c r="J89" i="5"/>
  <c r="J33" i="5"/>
  <c r="J31" i="5" a="1"/>
  <c r="J31" i="5"/>
  <c r="I56" i="2"/>
  <c r="J16" i="5"/>
  <c r="J15" i="5" a="1"/>
  <c r="J15" i="5"/>
  <c r="I37" i="2"/>
  <c r="J64" i="5"/>
  <c r="J17" i="5"/>
  <c r="M33" i="8"/>
  <c r="N27" i="8"/>
  <c r="M36" i="8"/>
  <c r="J66" i="5"/>
  <c r="J45" i="5"/>
  <c r="L33" i="12"/>
  <c r="L45" i="12"/>
  <c r="L39" i="12"/>
  <c r="L40" i="12"/>
  <c r="J83" i="5"/>
  <c r="J29" i="5"/>
  <c r="J28" i="5"/>
  <c r="J27" i="5" a="1"/>
  <c r="J27" i="5"/>
  <c r="I54" i="2"/>
  <c r="J77" i="5"/>
  <c r="J25" i="5"/>
  <c r="J24" i="5"/>
  <c r="J23" i="5" a="1"/>
  <c r="J23" i="5"/>
  <c r="I39" i="2"/>
  <c r="I53" i="2"/>
  <c r="H17" i="2"/>
  <c r="G89" i="2"/>
  <c r="H18" i="2"/>
  <c r="S52" i="2"/>
  <c r="H19" i="2"/>
  <c r="H16" i="2"/>
  <c r="H72" i="2"/>
  <c r="J20" i="5"/>
  <c r="J19" i="5" a="1"/>
  <c r="J19" i="5"/>
  <c r="I38" i="2"/>
  <c r="I40" i="2"/>
  <c r="J70" i="5"/>
  <c r="J21" i="5"/>
  <c r="L51" i="11"/>
  <c r="L42" i="11"/>
  <c r="L44" i="11"/>
  <c r="L45" i="11"/>
  <c r="M16" i="6"/>
  <c r="M37" i="8"/>
  <c r="N29" i="8"/>
  <c r="N30" i="8"/>
  <c r="N44" i="8"/>
  <c r="M17" i="6"/>
  <c r="M26" i="12"/>
  <c r="M17" i="12"/>
  <c r="M27" i="11"/>
  <c r="M26" i="11"/>
  <c r="M29" i="11"/>
  <c r="M41" i="11"/>
  <c r="M25" i="11"/>
  <c r="M36" i="6"/>
  <c r="K52" i="5"/>
  <c r="M31" i="6"/>
  <c r="M34" i="6"/>
  <c r="K55" i="5"/>
  <c r="M23" i="12"/>
  <c r="M16" i="12"/>
  <c r="M18" i="12"/>
  <c r="M25" i="12"/>
  <c r="M38" i="10"/>
  <c r="M19" i="6"/>
  <c r="M52" i="11"/>
  <c r="M22" i="6"/>
  <c r="K47" i="5"/>
  <c r="M28" i="11"/>
  <c r="M39" i="10"/>
  <c r="K41" i="5"/>
  <c r="M24" i="12"/>
  <c r="S59" i="2"/>
  <c r="G90" i="2"/>
  <c r="G91" i="2"/>
  <c r="N43" i="8"/>
  <c r="N28" i="8"/>
  <c r="S53" i="2"/>
  <c r="H43" i="2"/>
  <c r="H57" i="2"/>
  <c r="S55" i="2"/>
  <c r="M20" i="12"/>
  <c r="K48" i="5"/>
  <c r="K73" i="5"/>
  <c r="M31" i="11"/>
  <c r="N32" i="8"/>
  <c r="N45" i="8"/>
  <c r="K85" i="5"/>
  <c r="K56" i="5"/>
  <c r="K79" i="5"/>
  <c r="K53" i="5"/>
  <c r="T52" i="2"/>
  <c r="H70" i="2"/>
  <c r="M39" i="6"/>
  <c r="K44" i="5"/>
  <c r="M25" i="6"/>
  <c r="I100" i="2"/>
  <c r="I99" i="2"/>
  <c r="I98" i="2"/>
  <c r="AD98" i="2"/>
  <c r="I96" i="2"/>
  <c r="I97" i="2"/>
  <c r="S60" i="2"/>
  <c r="H44" i="2"/>
  <c r="H58" i="2"/>
  <c r="S62" i="2"/>
  <c r="K42" i="5"/>
  <c r="K60" i="5"/>
  <c r="M28" i="12"/>
  <c r="M32" i="12"/>
  <c r="K28" i="5"/>
  <c r="K27" i="5" a="1"/>
  <c r="K27" i="5"/>
  <c r="J54" i="2"/>
  <c r="K83" i="5"/>
  <c r="K29" i="5"/>
  <c r="K32" i="5"/>
  <c r="K89" i="5"/>
  <c r="K33" i="5"/>
  <c r="K31" i="5" a="1"/>
  <c r="K31" i="5"/>
  <c r="J56" i="2"/>
  <c r="M33" i="12"/>
  <c r="M45" i="12"/>
  <c r="M39" i="12"/>
  <c r="M40" i="12"/>
  <c r="M26" i="6"/>
  <c r="M28" i="6"/>
  <c r="M42" i="6"/>
  <c r="K64" i="5"/>
  <c r="K17" i="5"/>
  <c r="K16" i="5"/>
  <c r="K15" i="5" a="1"/>
  <c r="K15" i="5"/>
  <c r="J37" i="2"/>
  <c r="K66" i="5"/>
  <c r="K45" i="5"/>
  <c r="N33" i="8"/>
  <c r="O27" i="8"/>
  <c r="N36" i="8"/>
  <c r="M53" i="11"/>
  <c r="M35" i="11"/>
  <c r="T59" i="2"/>
  <c r="H71" i="2"/>
  <c r="K24" i="5"/>
  <c r="K23" i="5" a="1"/>
  <c r="K23" i="5"/>
  <c r="J39" i="2"/>
  <c r="J53" i="2"/>
  <c r="K77" i="5"/>
  <c r="K25" i="5"/>
  <c r="T53" i="2"/>
  <c r="I43" i="2"/>
  <c r="I57" i="2"/>
  <c r="T55" i="2"/>
  <c r="O29" i="8"/>
  <c r="O30" i="8"/>
  <c r="O44" i="8"/>
  <c r="K20" i="5"/>
  <c r="K70" i="5"/>
  <c r="K21" i="5"/>
  <c r="K19" i="5" a="1"/>
  <c r="K19" i="5"/>
  <c r="J38" i="2"/>
  <c r="J40" i="2"/>
  <c r="T60" i="2"/>
  <c r="I44" i="2"/>
  <c r="I58" i="2"/>
  <c r="T62" i="2"/>
  <c r="M51" i="11"/>
  <c r="M42" i="11"/>
  <c r="M44" i="11"/>
  <c r="M45" i="11"/>
  <c r="N37" i="8"/>
  <c r="N16" i="6"/>
  <c r="U52" i="2"/>
  <c r="I70" i="2"/>
  <c r="U59" i="2"/>
  <c r="I71" i="2"/>
  <c r="U53" i="2"/>
  <c r="J43" i="2"/>
  <c r="J57" i="2"/>
  <c r="O43" i="8"/>
  <c r="O28" i="8"/>
  <c r="N17" i="6"/>
  <c r="N24" i="12"/>
  <c r="N25" i="11"/>
  <c r="N19" i="6"/>
  <c r="N36" i="6"/>
  <c r="L52" i="5"/>
  <c r="L41" i="5"/>
  <c r="N27" i="11"/>
  <c r="N26" i="11"/>
  <c r="N25" i="12"/>
  <c r="N38" i="10"/>
  <c r="N23" i="12"/>
  <c r="N52" i="11"/>
  <c r="N28" i="11"/>
  <c r="N29" i="11"/>
  <c r="N17" i="12"/>
  <c r="N39" i="10"/>
  <c r="N22" i="6"/>
  <c r="L47" i="5"/>
  <c r="N26" i="12"/>
  <c r="N31" i="6"/>
  <c r="N34" i="6"/>
  <c r="L55" i="5"/>
  <c r="N18" i="12"/>
  <c r="N16" i="12"/>
  <c r="N41" i="11"/>
  <c r="N20" i="12"/>
  <c r="L44" i="5"/>
  <c r="N25" i="6"/>
  <c r="N39" i="6"/>
  <c r="N31" i="11"/>
  <c r="N28" i="12"/>
  <c r="O32" i="8"/>
  <c r="O45" i="8"/>
  <c r="U55" i="2"/>
  <c r="N32" i="12"/>
  <c r="L56" i="5"/>
  <c r="L85" i="5"/>
  <c r="L48" i="5"/>
  <c r="L73" i="5"/>
  <c r="L42" i="5"/>
  <c r="L60" i="5"/>
  <c r="L79" i="5"/>
  <c r="L53" i="5"/>
  <c r="U60" i="2"/>
  <c r="J44" i="2"/>
  <c r="J58" i="2"/>
  <c r="U62" i="2"/>
  <c r="N39" i="12"/>
  <c r="N40" i="12"/>
  <c r="N45" i="12"/>
  <c r="N33" i="12"/>
  <c r="J70" i="2"/>
  <c r="V52" i="2"/>
  <c r="V59" i="2"/>
  <c r="J71" i="2"/>
  <c r="L83" i="5"/>
  <c r="L29" i="5"/>
  <c r="L28" i="5"/>
  <c r="L27" i="5" a="1"/>
  <c r="L27" i="5"/>
  <c r="K54" i="2"/>
  <c r="O33" i="8"/>
  <c r="O36" i="8"/>
  <c r="N28" i="6"/>
  <c r="N42" i="6"/>
  <c r="N26" i="6"/>
  <c r="L64" i="5"/>
  <c r="L17" i="5"/>
  <c r="L16" i="5"/>
  <c r="L15" i="5" a="1"/>
  <c r="L15" i="5"/>
  <c r="K37" i="2"/>
  <c r="N53" i="11"/>
  <c r="N35" i="11"/>
  <c r="L77" i="5"/>
  <c r="L25" i="5"/>
  <c r="L24" i="5"/>
  <c r="L23" i="5" a="1"/>
  <c r="L23" i="5"/>
  <c r="K39" i="2"/>
  <c r="K53" i="2"/>
  <c r="L32" i="5"/>
  <c r="L31" i="5" a="1"/>
  <c r="L31" i="5"/>
  <c r="K56" i="2"/>
  <c r="L89" i="5"/>
  <c r="L33" i="5"/>
  <c r="L45" i="5"/>
  <c r="L66" i="5"/>
  <c r="N42" i="11"/>
  <c r="N44" i="11"/>
  <c r="N45" i="11"/>
  <c r="N51" i="11"/>
  <c r="V60" i="2"/>
  <c r="K44" i="2"/>
  <c r="K58" i="2"/>
  <c r="V62" i="2"/>
  <c r="V53" i="2"/>
  <c r="K43" i="2"/>
  <c r="K57" i="2"/>
  <c r="L70" i="5"/>
  <c r="L21" i="5"/>
  <c r="L20" i="5"/>
  <c r="L19" i="5" a="1"/>
  <c r="L19" i="5"/>
  <c r="K38" i="2"/>
  <c r="O16" i="6"/>
  <c r="V55" i="2"/>
  <c r="O17" i="6"/>
  <c r="O26" i="11"/>
  <c r="O41" i="11"/>
  <c r="O31" i="6"/>
  <c r="O34" i="6"/>
  <c r="M55" i="5"/>
  <c r="O38" i="10"/>
  <c r="O39" i="10"/>
  <c r="O25" i="12"/>
  <c r="O28" i="11"/>
  <c r="O26" i="12"/>
  <c r="O36" i="6"/>
  <c r="M52" i="5"/>
  <c r="O16" i="12"/>
  <c r="O25" i="11"/>
  <c r="O19" i="6"/>
  <c r="O52" i="11"/>
  <c r="O22" i="6"/>
  <c r="M47" i="5"/>
  <c r="O27" i="11"/>
  <c r="O23" i="12"/>
  <c r="O24" i="12"/>
  <c r="O29" i="11"/>
  <c r="O18" i="12"/>
  <c r="O17" i="12"/>
  <c r="M41" i="5"/>
  <c r="K40" i="2"/>
  <c r="W59" i="2"/>
  <c r="K71" i="2"/>
  <c r="O37" i="8"/>
  <c r="W52" i="2"/>
  <c r="K70" i="2"/>
  <c r="W60" i="2"/>
  <c r="L44" i="2"/>
  <c r="L58" i="2"/>
  <c r="W62" i="2"/>
  <c r="M56" i="5"/>
  <c r="M85" i="5"/>
  <c r="O25" i="6"/>
  <c r="M44" i="5"/>
  <c r="O39" i="6"/>
  <c r="M42" i="5"/>
  <c r="M60" i="5"/>
  <c r="O31" i="11"/>
  <c r="M79" i="5"/>
  <c r="M53" i="5"/>
  <c r="W53" i="2"/>
  <c r="L43" i="2"/>
  <c r="L57" i="2"/>
  <c r="O28" i="12"/>
  <c r="M48" i="5"/>
  <c r="M73" i="5"/>
  <c r="O20" i="12"/>
  <c r="O32" i="12"/>
  <c r="W55" i="2"/>
  <c r="L70" i="2"/>
  <c r="O35" i="11"/>
  <c r="O53" i="11"/>
  <c r="M64" i="5"/>
  <c r="M17" i="5"/>
  <c r="M16" i="5"/>
  <c r="M15" i="5" a="1"/>
  <c r="M15" i="5"/>
  <c r="L37" i="2"/>
  <c r="M77" i="5"/>
  <c r="M25" i="5"/>
  <c r="M24" i="5"/>
  <c r="M23" i="5" a="1"/>
  <c r="M23" i="5"/>
  <c r="L39" i="2"/>
  <c r="L53" i="2"/>
  <c r="M45" i="5"/>
  <c r="M66" i="5"/>
  <c r="O28" i="6"/>
  <c r="O42" i="6"/>
  <c r="O26" i="6"/>
  <c r="L71" i="2"/>
  <c r="L87" i="2"/>
  <c r="L86" i="2"/>
  <c r="L85" i="2"/>
  <c r="L84" i="2"/>
  <c r="L83" i="2"/>
  <c r="O39" i="12"/>
  <c r="O40" i="12"/>
  <c r="O45" i="12"/>
  <c r="O33" i="12"/>
  <c r="M32" i="5"/>
  <c r="M89" i="5"/>
  <c r="M33" i="5"/>
  <c r="M83" i="5"/>
  <c r="M29" i="5"/>
  <c r="M28" i="5"/>
  <c r="M27" i="5" a="1"/>
  <c r="M27" i="5"/>
  <c r="L54" i="2"/>
  <c r="M20" i="5"/>
  <c r="M19" i="5" a="1"/>
  <c r="M19" i="5"/>
  <c r="L38" i="2"/>
  <c r="M70" i="5"/>
  <c r="M21" i="5"/>
  <c r="M31" i="5" a="1"/>
  <c r="M31" i="5"/>
  <c r="L56" i="2"/>
  <c r="O42" i="11"/>
  <c r="O44" i="11"/>
  <c r="O45" i="11"/>
  <c r="O51" i="11"/>
  <c r="L40" i="2"/>
  <c r="G87" i="2"/>
  <c r="G86" i="2"/>
  <c r="G84" i="2"/>
  <c r="G83" i="2"/>
  <c r="G85" i="2"/>
  <c r="T41" i="2"/>
  <c r="U41" i="2"/>
  <c r="V41" i="2"/>
  <c r="W41" i="2"/>
  <c r="S46" i="2"/>
  <c r="T46" i="2"/>
  <c r="U46" i="2"/>
  <c r="V46" i="2"/>
  <c r="W46" i="2"/>
  <c r="H49" i="2"/>
  <c r="H60" i="2"/>
  <c r="I49" i="2"/>
  <c r="I60" i="2"/>
  <c r="J49" i="2"/>
  <c r="J60" i="2"/>
  <c r="K49" i="2"/>
  <c r="K60" i="2"/>
  <c r="L49" i="2"/>
  <c r="L60" i="2"/>
  <c r="I72" i="2"/>
  <c r="J72" i="2"/>
  <c r="K72" i="2"/>
  <c r="L72" i="2"/>
  <c r="H73" i="2"/>
  <c r="I73" i="2"/>
  <c r="J73" i="2"/>
  <c r="K73" i="2"/>
  <c r="L73" i="2"/>
  <c r="H75" i="2"/>
  <c r="I75" i="2"/>
  <c r="J75" i="2"/>
  <c r="K75" i="2"/>
  <c r="L75" i="2"/>
  <c r="S48" i="2"/>
  <c r="H42" i="2"/>
  <c r="H45" i="2"/>
  <c r="H47" i="2"/>
  <c r="H51" i="2"/>
  <c r="H61" i="2"/>
  <c r="S37" i="2"/>
  <c r="S43" i="2"/>
  <c r="S45" i="2"/>
  <c r="H69" i="2"/>
  <c r="H77" i="2"/>
  <c r="T48" i="2"/>
  <c r="I42" i="2"/>
  <c r="I45" i="2"/>
  <c r="I47" i="2"/>
  <c r="I51" i="2"/>
  <c r="I61" i="2"/>
  <c r="T37" i="2"/>
  <c r="T43" i="2"/>
  <c r="T45" i="2"/>
  <c r="I69" i="2"/>
  <c r="I77" i="2"/>
  <c r="U48" i="2"/>
  <c r="J42" i="2"/>
  <c r="J45" i="2"/>
  <c r="J47" i="2"/>
  <c r="J51" i="2"/>
  <c r="J61" i="2"/>
  <c r="U37" i="2"/>
  <c r="U43" i="2"/>
  <c r="U45" i="2"/>
  <c r="J69" i="2"/>
  <c r="J77" i="2"/>
  <c r="V48" i="2"/>
  <c r="K42" i="2"/>
  <c r="K45" i="2"/>
  <c r="K47" i="2"/>
  <c r="K51" i="2"/>
  <c r="K61" i="2"/>
  <c r="V37" i="2"/>
  <c r="V43" i="2"/>
  <c r="V45" i="2"/>
  <c r="K69" i="2"/>
  <c r="K77" i="2"/>
  <c r="F96" i="2"/>
  <c r="H83" i="2"/>
  <c r="I83" i="2"/>
  <c r="K83" i="2"/>
  <c r="M83" i="2"/>
  <c r="M96" i="2"/>
  <c r="H96" i="2"/>
  <c r="F97" i="2"/>
  <c r="H84" i="2"/>
  <c r="I84" i="2"/>
  <c r="K84" i="2"/>
  <c r="M84" i="2"/>
  <c r="M97" i="2"/>
  <c r="H97" i="2"/>
  <c r="F98" i="2"/>
  <c r="H85" i="2"/>
  <c r="I85" i="2"/>
  <c r="K85" i="2"/>
  <c r="M85" i="2"/>
  <c r="M98" i="2"/>
  <c r="H98" i="2"/>
  <c r="F99" i="2"/>
  <c r="H86" i="2"/>
  <c r="I86" i="2"/>
  <c r="K86" i="2"/>
  <c r="M86" i="2"/>
  <c r="M99" i="2"/>
  <c r="H99" i="2"/>
  <c r="F100" i="2"/>
  <c r="W48" i="2"/>
  <c r="L42" i="2"/>
  <c r="L45" i="2"/>
  <c r="L47" i="2"/>
  <c r="L51" i="2"/>
  <c r="L61" i="2"/>
  <c r="W37" i="2"/>
  <c r="W43" i="2"/>
  <c r="W45" i="2"/>
  <c r="L69" i="2"/>
  <c r="L77" i="2"/>
  <c r="H87" i="2"/>
  <c r="I87" i="2"/>
  <c r="K87" i="2"/>
  <c r="M87" i="2"/>
  <c r="M100" i="2"/>
  <c r="H100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<sst xmlns="http://schemas.openxmlformats.org/spreadsheetml/2006/main" count="485" uniqueCount="276">
  <si>
    <t>Revenue</t>
  </si>
  <si>
    <t xml:space="preserve">Total </t>
  </si>
  <si>
    <t>EBITDA</t>
  </si>
  <si>
    <t>% Margin</t>
  </si>
  <si>
    <t xml:space="preserve">Entry </t>
  </si>
  <si>
    <t>Steps</t>
  </si>
  <si>
    <t xml:space="preserve">Exit </t>
  </si>
  <si>
    <t xml:space="preserve">Sources and Uses </t>
  </si>
  <si>
    <t>Entry Multiple</t>
  </si>
  <si>
    <t xml:space="preserve">Fees (M&amp;A + Bank Fees) </t>
  </si>
  <si>
    <t>Funding Analysis</t>
  </si>
  <si>
    <t xml:space="preserve">Currency </t>
  </si>
  <si>
    <t>Fill out P&amp;L with hardcodes for Interest Expense</t>
  </si>
  <si>
    <t xml:space="preserve">Debt Schedule - incl. Cash Sweep/ Minimum Cash Balance etc </t>
  </si>
  <si>
    <t>Uses of Funds</t>
  </si>
  <si>
    <t>Sources of Funds</t>
  </si>
  <si>
    <t xml:space="preserve">Total Equity / Loan Note Required </t>
  </si>
  <si>
    <t>EBITDA Multiple</t>
  </si>
  <si>
    <t>Margin</t>
  </si>
  <si>
    <t>12 Month SONIA</t>
  </si>
  <si>
    <t>Interest Rate</t>
  </si>
  <si>
    <t xml:space="preserve">Purchase Price </t>
  </si>
  <si>
    <t xml:space="preserve">Bank Debt </t>
  </si>
  <si>
    <t>% Split of Total Equity</t>
  </si>
  <si>
    <t>Fees</t>
  </si>
  <si>
    <t>% Management Split of Total Equity</t>
  </si>
  <si>
    <t>% Sponsor Split of Total Equity</t>
  </si>
  <si>
    <t xml:space="preserve">Mgmt Equity </t>
  </si>
  <si>
    <t>Management Loan Note</t>
  </si>
  <si>
    <t xml:space="preserve">Sponsor Equity </t>
  </si>
  <si>
    <t>% Split of Loan Notes</t>
  </si>
  <si>
    <t xml:space="preserve">Mgmt Loan Notes </t>
  </si>
  <si>
    <t>% Mgmt Split of Total Loan Notes</t>
  </si>
  <si>
    <t>Sponsor Loan Notes</t>
  </si>
  <si>
    <t>% Sponsor Split of Total Loan Notes</t>
  </si>
  <si>
    <t>USES</t>
  </si>
  <si>
    <t>SOURCES</t>
  </si>
  <si>
    <t xml:space="preserve">&lt;&lt; SOURCES = USES = Purchase Price + Fees where Purchase Price is higher of EV &amp; EqV (i.e. whether Net Debt is +ve or -ve) </t>
  </si>
  <si>
    <t>Last Full Year</t>
  </si>
  <si>
    <t xml:space="preserve">Revenue </t>
  </si>
  <si>
    <t xml:space="preserve">Cash Flow available for Debt Repayment </t>
  </si>
  <si>
    <t xml:space="preserve">EBITDA </t>
  </si>
  <si>
    <t>D&amp;A</t>
  </si>
  <si>
    <t xml:space="preserve">EBIT </t>
  </si>
  <si>
    <t>Opening Balance</t>
  </si>
  <si>
    <t xml:space="preserve">Senior Debt </t>
  </si>
  <si>
    <t xml:space="preserve">Amortising % </t>
  </si>
  <si>
    <t>Amortising £</t>
  </si>
  <si>
    <t xml:space="preserve">Cash Sweep </t>
  </si>
  <si>
    <t xml:space="preserve">Closing Balance </t>
  </si>
  <si>
    <t>Management Loan Note (Accrued)</t>
  </si>
  <si>
    <t xml:space="preserve">Remaining Cash Available </t>
  </si>
  <si>
    <t>Sponsor Loan Note (Accrued)</t>
  </si>
  <si>
    <t>Total Interest Expense</t>
  </si>
  <si>
    <t xml:space="preserve">Interest </t>
  </si>
  <si>
    <t xml:space="preserve">Note: Cash interest is calculated on avg. balance </t>
  </si>
  <si>
    <t xml:space="preserve">EBT </t>
  </si>
  <si>
    <t>Tax</t>
  </si>
  <si>
    <t>Net Income</t>
  </si>
  <si>
    <t xml:space="preserve">Plus: D&amp;A </t>
  </si>
  <si>
    <t>Less: Capex</t>
  </si>
  <si>
    <t xml:space="preserve">Less: Change in WC </t>
  </si>
  <si>
    <t xml:space="preserve">Plus: Mgmt LN (Accrued) </t>
  </si>
  <si>
    <t xml:space="preserve">Plus: Sponsor LN (Accrued) </t>
  </si>
  <si>
    <t>Closing Balance</t>
  </si>
  <si>
    <t>Accrued Interest</t>
  </si>
  <si>
    <t>Repayment</t>
  </si>
  <si>
    <t xml:space="preserve">Note: LN interest accrues throughout period </t>
  </si>
  <si>
    <t>Sponsor Loan Note</t>
  </si>
  <si>
    <t>Additional Amount</t>
  </si>
  <si>
    <t xml:space="preserve">Net Debt </t>
  </si>
  <si>
    <t>Multiple</t>
  </si>
  <si>
    <t>Senior Debt - A</t>
  </si>
  <si>
    <t>Sources and Uses Summary</t>
  </si>
  <si>
    <t>Cash Flow Analysis &amp; Debt Paydown</t>
  </si>
  <si>
    <t xml:space="preserve">Returns Analysis </t>
  </si>
  <si>
    <t>Enterprise</t>
  </si>
  <si>
    <t>Value</t>
  </si>
  <si>
    <t xml:space="preserve">Net </t>
  </si>
  <si>
    <t>Debt</t>
  </si>
  <si>
    <t>Equity</t>
  </si>
  <si>
    <t>Return</t>
  </si>
  <si>
    <t>Sponsor</t>
  </si>
  <si>
    <t>Proportion</t>
  </si>
  <si>
    <t xml:space="preserve">Sponsor </t>
  </si>
  <si>
    <t>Equity Return</t>
  </si>
  <si>
    <t>Loan Notes</t>
  </si>
  <si>
    <t>Value at Exit</t>
  </si>
  <si>
    <t>Cash Flow</t>
  </si>
  <si>
    <t>IRR</t>
  </si>
  <si>
    <t>Money</t>
  </si>
  <si>
    <t xml:space="preserve">Sponsor Equity Investment </t>
  </si>
  <si>
    <t>Sponsor LN Investment</t>
  </si>
  <si>
    <t>Total Sponsor Investment</t>
  </si>
  <si>
    <t>Exit Multiple</t>
  </si>
  <si>
    <t>&lt;&lt; Sponsor Loan notes here equals the closing balance in the exit year</t>
  </si>
  <si>
    <t xml:space="preserve">&lt;&lt; Cash Flow in the exit year is all returns (Equity Return + Loan Notes) </t>
  </si>
  <si>
    <t xml:space="preserve">Capitalisation Summary </t>
  </si>
  <si>
    <t xml:space="preserve">Cumulative Cash Flow </t>
  </si>
  <si>
    <t>Funding Analysis e.g. Debt used on Entry</t>
  </si>
  <si>
    <t xml:space="preserve">Equity used on Entry </t>
  </si>
  <si>
    <t xml:space="preserve">Calculate FCF (CFADR) &amp; CFADS </t>
  </si>
  <si>
    <t xml:space="preserve">Capitalisation summary - summary of all cash and debt - so can calculate Net Debt </t>
  </si>
  <si>
    <t xml:space="preserve">Returns Analysis - calculate IRR &amp; MOIC </t>
  </si>
  <si>
    <t xml:space="preserve">&lt;&lt; Net Debt on Exit is the Initial Net Debt (i.e. the debt used on entry) less any cumulative Cash flow earned over the period </t>
  </si>
  <si>
    <t>&lt;&lt; Basic IRR calc: it’s a CAGR</t>
  </si>
  <si>
    <t xml:space="preserve">Sponsor Loan Note </t>
  </si>
  <si>
    <t xml:space="preserve">Management Loan Note </t>
  </si>
  <si>
    <t>Capitalisation</t>
  </si>
  <si>
    <t>Book Equity</t>
  </si>
  <si>
    <t>Book Capitalisation</t>
  </si>
  <si>
    <t xml:space="preserve">CFADR (Free Cash Flow + Interest Expense) </t>
  </si>
  <si>
    <t>M&amp;A Case (1= On)</t>
  </si>
  <si>
    <t>in £m (unless otherwise stated), FYE December</t>
  </si>
  <si>
    <t>Forecast</t>
  </si>
  <si>
    <t>Case Selector</t>
  </si>
  <si>
    <t>Net Sales</t>
  </si>
  <si>
    <t xml:space="preserve">Organic </t>
  </si>
  <si>
    <t>M&amp;A</t>
  </si>
  <si>
    <t>Capex</t>
  </si>
  <si>
    <t>Change in Working Capital</t>
  </si>
  <si>
    <t>Acquisition Capex</t>
  </si>
  <si>
    <t>Business Plan Projection Assumptions</t>
  </si>
  <si>
    <t>x</t>
  </si>
  <si>
    <t>P&amp;L</t>
  </si>
  <si>
    <t>Revenue Growth</t>
  </si>
  <si>
    <t>EBITDA Margin</t>
  </si>
  <si>
    <t xml:space="preserve">D&amp;A </t>
  </si>
  <si>
    <t>% of Revenue</t>
  </si>
  <si>
    <t>Change in NWC</t>
  </si>
  <si>
    <t>M&amp;A Case</t>
  </si>
  <si>
    <t>Revenue (Organic Case - above)</t>
  </si>
  <si>
    <t xml:space="preserve">Acquisition 1 </t>
  </si>
  <si>
    <t>Acquisition 2</t>
  </si>
  <si>
    <t>Acquisition 3</t>
  </si>
  <si>
    <t>M&amp;A Adjusted Revenue</t>
  </si>
  <si>
    <t>EBITDA (Organic Case - above)</t>
  </si>
  <si>
    <t>M&amp;A Adjusted EBITDA</t>
  </si>
  <si>
    <t>M&amp;A Adjusted EBITDA Margin</t>
  </si>
  <si>
    <t>D&amp;A (Organic Case - above)</t>
  </si>
  <si>
    <t>M&amp;A Adjusted D&amp;A</t>
  </si>
  <si>
    <t>Capex (Organic Case - above)</t>
  </si>
  <si>
    <t>M&amp;A Adjusted Capex</t>
  </si>
  <si>
    <t>Change in Working Capital (Organic Case - above)</t>
  </si>
  <si>
    <t>M&amp;A Adjusted Change in Working Capital</t>
  </si>
  <si>
    <t>Acquisition Assumptions</t>
  </si>
  <si>
    <t>Acquisition 1:</t>
  </si>
  <si>
    <t>Revenue Acquired</t>
  </si>
  <si>
    <t>EBITDA Acquired</t>
  </si>
  <si>
    <t>EBITDA Margin (Pre-Synergy)</t>
  </si>
  <si>
    <t>Multiple Paid</t>
  </si>
  <si>
    <t>Revenue Realised</t>
  </si>
  <si>
    <t xml:space="preserve">Post Acquisition Growth </t>
  </si>
  <si>
    <t>EBITDA Realised</t>
  </si>
  <si>
    <t>Post Synergy Margin</t>
  </si>
  <si>
    <t>Acquisition 2:</t>
  </si>
  <si>
    <t>Acquisition 3:</t>
  </si>
  <si>
    <t>Actual</t>
  </si>
  <si>
    <t>ARR</t>
  </si>
  <si>
    <t xml:space="preserve">% ARR Growth </t>
  </si>
  <si>
    <t>% Revenue Growth</t>
  </si>
  <si>
    <t>EBIT</t>
  </si>
  <si>
    <t>Corporate Income Tax</t>
  </si>
  <si>
    <t>% Tax Rate</t>
  </si>
  <si>
    <t>NWC</t>
  </si>
  <si>
    <t>Change In NWC</t>
  </si>
  <si>
    <t>FCF (pre tax)</t>
  </si>
  <si>
    <t xml:space="preserve">FCF (post tax) </t>
  </si>
  <si>
    <t>£m</t>
  </si>
  <si>
    <t>Upside Case (M&amp;A) 1= On</t>
  </si>
  <si>
    <t>Less: Acquisition Capex</t>
  </si>
  <si>
    <t>FCF (EBITDA - Change in NWC - Capex - Tax)</t>
  </si>
  <si>
    <t>Period Start</t>
  </si>
  <si>
    <t>Period End</t>
  </si>
  <si>
    <t>Fiscal Year</t>
  </si>
  <si>
    <t>Fiscal Quarter</t>
  </si>
  <si>
    <t>Fiscal Month</t>
  </si>
  <si>
    <t>Column #</t>
  </si>
  <si>
    <t>Metric</t>
  </si>
  <si>
    <t>Actual/Forecast</t>
  </si>
  <si>
    <t>Annual</t>
  </si>
  <si>
    <t>ARR by Customer Segment</t>
  </si>
  <si>
    <t>Mid-Market</t>
  </si>
  <si>
    <t>SMB</t>
  </si>
  <si>
    <t>Total ARR</t>
  </si>
  <si>
    <t>Check to Financials</t>
  </si>
  <si>
    <t>Revenue Bridge</t>
  </si>
  <si>
    <t>Opening ARR</t>
  </si>
  <si>
    <t>New ARR</t>
  </si>
  <si>
    <t>Expansion ARR</t>
  </si>
  <si>
    <t>Churn ARR</t>
  </si>
  <si>
    <t>Closing ARR</t>
  </si>
  <si>
    <t>Revenue Recognition</t>
  </si>
  <si>
    <t>Key Metrics</t>
  </si>
  <si>
    <t>Net Revenue Retention</t>
  </si>
  <si>
    <t>Gross Revenue Retention</t>
  </si>
  <si>
    <t>New ARR Growth %</t>
  </si>
  <si>
    <t>Assumptions</t>
  </si>
  <si>
    <t>Enterprise Growth</t>
  </si>
  <si>
    <t>Mid-Market Growth</t>
  </si>
  <si>
    <t>SMB Growth</t>
  </si>
  <si>
    <t>New ARR %</t>
  </si>
  <si>
    <t>Expansion %</t>
  </si>
  <si>
    <t>Churn %</t>
  </si>
  <si>
    <t>Revenue Recognition %</t>
  </si>
  <si>
    <t>Headcount by Department</t>
  </si>
  <si>
    <t>Sales &amp; Customer Success</t>
  </si>
  <si>
    <t>Marketing</t>
  </si>
  <si>
    <t>Research &amp; Development</t>
  </si>
  <si>
    <t>General &amp; Administrative</t>
  </si>
  <si>
    <t>Total Headcount</t>
  </si>
  <si>
    <t>Average Compensation (£000s)</t>
  </si>
  <si>
    <t>Total Compensation Cost</t>
  </si>
  <si>
    <t>Employee Metrics</t>
  </si>
  <si>
    <t>Revenue per Employee (£000s)</t>
  </si>
  <si>
    <t>Compensation as % of Revenue</t>
  </si>
  <si>
    <t>Average Comp per Employee (£000s)</t>
  </si>
  <si>
    <t>Sales HC Growth</t>
  </si>
  <si>
    <t>Marketing HC Growth</t>
  </si>
  <si>
    <t>R&amp;D HC Growth</t>
  </si>
  <si>
    <t>G&amp;A HC Growth</t>
  </si>
  <si>
    <t>Sales &amp; CS Comp</t>
  </si>
  <si>
    <t>Marketing Comp</t>
  </si>
  <si>
    <t>R&amp;D Comp</t>
  </si>
  <si>
    <t>G&amp;A Comp</t>
  </si>
  <si>
    <t>Personnel Costs</t>
  </si>
  <si>
    <t>Total Compensation</t>
  </si>
  <si>
    <t>Employer Taxes &amp; Benefits</t>
  </si>
  <si>
    <t>Total Personnel Costs</t>
  </si>
  <si>
    <t>Other Operating Expenses</t>
  </si>
  <si>
    <t>Cloud &amp; Infrastructure</t>
  </si>
  <si>
    <t>Sales &amp; Marketing</t>
  </si>
  <si>
    <t>Office &amp; Facilities</t>
  </si>
  <si>
    <t>Professional Services</t>
  </si>
  <si>
    <t>Other G&amp;A</t>
  </si>
  <si>
    <t>Total Other OpEx</t>
  </si>
  <si>
    <t>Total Operating Expenses</t>
  </si>
  <si>
    <t>EBITDA Bridge</t>
  </si>
  <si>
    <t>Less: Total Operating Expenses</t>
  </si>
  <si>
    <t>OpEx Metrics</t>
  </si>
  <si>
    <t>OpEx as % of Revenue</t>
  </si>
  <si>
    <t>Personnel as % of Revenue</t>
  </si>
  <si>
    <t>Other OpEx as % of Revenue</t>
  </si>
  <si>
    <t>Benefits %</t>
  </si>
  <si>
    <t>As % of Revenue</t>
  </si>
  <si>
    <t>Cloud %</t>
  </si>
  <si>
    <t>S&amp;M %</t>
  </si>
  <si>
    <t>Facilities %</t>
  </si>
  <si>
    <t>Prof Services %</t>
  </si>
  <si>
    <t>Other G&amp;A %</t>
  </si>
  <si>
    <t>Working Capital Components</t>
  </si>
  <si>
    <t>Accounts Receivable</t>
  </si>
  <si>
    <t>Prepaid Expenses</t>
  </si>
  <si>
    <t>Other Current Assets</t>
  </si>
  <si>
    <t>Total Current Assets</t>
  </si>
  <si>
    <t>Accounts Payable</t>
  </si>
  <si>
    <t>Accrued Expenses</t>
  </si>
  <si>
    <t>Deferred Revenue</t>
  </si>
  <si>
    <t>Other Current Liabilities</t>
  </si>
  <si>
    <t>Total Current Liabilities</t>
  </si>
  <si>
    <t>Net Working Capital</t>
  </si>
  <si>
    <t>Working Capital Analysis</t>
  </si>
  <si>
    <t>Days Sales Outstanding</t>
  </si>
  <si>
    <t>Days Payable Outstanding</t>
  </si>
  <si>
    <t>NWC as % of Revenue</t>
  </si>
  <si>
    <t>Days / % Revenue</t>
  </si>
  <si>
    <t>AR Days</t>
  </si>
  <si>
    <t>Prepaid %</t>
  </si>
  <si>
    <t>Other CA %</t>
  </si>
  <si>
    <t>AP Days</t>
  </si>
  <si>
    <t>Accrued %</t>
  </si>
  <si>
    <t>Deferred %</t>
  </si>
  <si>
    <t>Other CL %</t>
  </si>
  <si>
    <t>Days Periods</t>
  </si>
  <si>
    <t>End of Sheet</t>
  </si>
  <si>
    <t>Check to ARR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</si>
</sst>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#,##0;[Red]\(#,##0\);&quot;--&quot;"/>
    <numFmt numFmtId="165" formatCode="#,##0%;[Red]\(#,##0%\);&quot;--&quot;"/>
    <numFmt numFmtId="166" formatCode="#,##0.0%;[Red]\(#,##0.0%\);&quot;--&quot;"/>
    <numFmt numFmtId="167" formatCode="0.0%"/>
    <numFmt numFmtId="168" formatCode="0.0\x"/>
    <numFmt numFmtId="169" formatCode="#,##0.00\x_);\(#,##0.00\x\)"/>
    <numFmt numFmtId="170" formatCode="yyyy"/>
    <numFmt numFmtId="171" formatCode="0."/>
    <numFmt numFmtId="172" formatCode="#,##0.0;[Red]\(#,##0.0\);&quot;--&quot;"/>
    <numFmt numFmtId="173" formatCode="0.0"/>
    <numFmt numFmtId="174" formatCode="#,##0.0%;[Red]\(#,##0.0\)%"/>
    <numFmt numFmtId="175" formatCode="0.0%_);\(0.0%\);&quot;--&quot;_);@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sz val="10"/>
      <color theme="1"/>
      <name val="Arial Narrow"/>
      <family val="2"/>
    </font>
    <font>
      <b/>
      <sz val="11"/>
      <color rgb="FF000000"/>
      <name val="Calibri"/>
      <family val="2"/>
    </font>
    <font>
      <sz val="11"/>
      <color rgb="FF00B050"/>
      <name val="Calibri"/>
      <family val="2"/>
      <scheme val="minor"/>
    </font>
    <font>
      <sz val="10"/>
      <color theme="1"/>
      <name val="Calibri"/>
      <family val="2"/>
    </font>
    <font>
      <sz val="10"/>
      <color rgb="FF0000FF"/>
      <name val="Calibri"/>
      <family val="2"/>
    </font>
    <font>
      <sz val="10"/>
      <name val="Calibri"/>
      <family val="2"/>
    </font>
    <font>
      <sz val="9"/>
      <color theme="1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</font>
    <font>
      <sz val="10"/>
      <name val="Arial"/>
      <family val="2"/>
    </font>
    <font>
      <b/>
      <sz val="10"/>
      <color indexed="9"/>
      <name val="Calibri"/>
      <family val="2"/>
    </font>
    <font>
      <b/>
      <sz val="10"/>
      <color indexed="46"/>
      <name val="Calibri"/>
      <family val="2"/>
    </font>
    <font>
      <b/>
      <sz val="10"/>
      <name val="Calibri"/>
      <family val="2"/>
    </font>
    <font>
      <b/>
      <i/>
      <sz val="10"/>
      <name val="Calibri"/>
      <family val="2"/>
    </font>
    <font>
      <b/>
      <sz val="10"/>
      <color theme="1"/>
      <name val="Calibri"/>
      <family val="2"/>
    </font>
    <font>
      <b/>
      <u/>
      <sz val="10"/>
      <color theme="1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color rgb="FF0000FF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9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B05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color theme="8" tint="-0.249977111117893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0"/>
      <color rgb="FF008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349CD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C3E2A"/>
        <bgColor indexed="64"/>
      </patternFill>
    </fill>
    <fill>
      <patternFill patternType="solid">
        <fgColor rgb="FF3D5A3A"/>
        <bgColor indexed="64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hair">
        <color auto="1"/>
      </right>
      <top style="thin">
        <color rgb="FF7F7F7F"/>
      </top>
      <bottom style="thin">
        <color rgb="FF7F7F7F"/>
      </bottom>
      <diagonal/>
    </border>
    <border>
      <left style="hair">
        <color auto="1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rgb="FF7F7F7F"/>
      </left>
      <right/>
      <top/>
      <bottom/>
      <diagonal/>
    </border>
    <border>
      <left style="thin">
        <color rgb="FF7F7F7F"/>
      </left>
      <right/>
      <top/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hair">
        <color auto="1"/>
      </top>
      <bottom style="thin">
        <color rgb="FF7F7F7F"/>
      </bottom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0" fontId="2" fillId="2" borderId="0">
      <alignment horizontal="center" vertical="center"/>
    </xf>
    <xf numFmtId="164" fontId="1" fillId="0" borderId="0" applyProtection="0"/>
    <xf numFmtId="165" fontId="4" fillId="3" borderId="1"/>
    <xf numFmtId="165" fontId="1" fillId="0" borderId="0"/>
    <xf numFmtId="0" fontId="5" fillId="0" borderId="0"/>
    <xf numFmtId="164" fontId="4" fillId="3" borderId="1" applyProtection="0"/>
    <xf numFmtId="0" fontId="6" fillId="4" borderId="0"/>
    <xf numFmtId="164" fontId="7" fillId="0" borderId="0"/>
    <xf numFmtId="0" fontId="14" fillId="0" borderId="0"/>
  </cellStyleXfs>
  <cellXfs count="181">
    <xf numFmtId="0" fontId="0" fillId="0" borderId="0" xfId="0"/>
    <xf numFmtId="0" fontId="3" fillId="0" borderId="0" xfId="0" applyFont="1"/>
    <xf numFmtId="0" fontId="6" fillId="0" borderId="0" xfId="8" applyFill="1"/>
    <xf numFmtId="0" fontId="8" fillId="0" borderId="0" xfId="6" applyFont="1" applyAlignment="1">
      <alignment vertical="center"/>
    </xf>
    <xf numFmtId="10" fontId="9" fillId="0" borderId="0" xfId="6" applyNumberFormat="1" applyFont="1" applyAlignment="1">
      <alignment vertical="center"/>
    </xf>
    <xf numFmtId="10" fontId="10" fillId="0" borderId="0" xfId="6" applyNumberFormat="1" applyFont="1" applyAlignment="1">
      <alignment vertical="center"/>
    </xf>
    <xf numFmtId="165" fontId="0" fillId="0" borderId="0" xfId="0" applyNumberFormat="1"/>
    <xf numFmtId="0" fontId="12" fillId="0" borderId="0" xfId="0" applyFont="1"/>
    <xf numFmtId="0" fontId="11" fillId="0" borderId="0" xfId="6" applyFont="1" applyAlignment="1">
      <alignment vertical="center"/>
    </xf>
    <xf numFmtId="0" fontId="13" fillId="0" borderId="0" xfId="2" applyFont="1" applyFill="1">
      <alignment horizontal="center" vertical="center"/>
    </xf>
    <xf numFmtId="0" fontId="15" fillId="5" borderId="0" xfId="10" applyFont="1" applyFill="1" applyAlignment="1">
      <alignment vertical="center"/>
    </xf>
    <xf numFmtId="0" fontId="16" fillId="5" borderId="0" xfId="10" applyFont="1" applyFill="1" applyAlignment="1">
      <alignment vertical="center"/>
    </xf>
    <xf numFmtId="0" fontId="17" fillId="0" borderId="0" xfId="6" applyFont="1" applyAlignment="1">
      <alignment horizontal="center" vertical="center"/>
    </xf>
    <xf numFmtId="0" fontId="17" fillId="0" borderId="9" xfId="6" applyFont="1" applyBorder="1" applyAlignment="1">
      <alignment horizontal="center" vertical="center"/>
    </xf>
    <xf numFmtId="0" fontId="18" fillId="0" borderId="0" xfId="6" applyFont="1" applyAlignment="1">
      <alignment horizontal="center" vertical="center"/>
    </xf>
    <xf numFmtId="0" fontId="18" fillId="0" borderId="9" xfId="6" applyFont="1" applyBorder="1" applyAlignment="1">
      <alignment horizontal="center" vertical="center"/>
    </xf>
    <xf numFmtId="0" fontId="19" fillId="0" borderId="9" xfId="6" applyFont="1" applyBorder="1" applyAlignment="1">
      <alignment horizontal="center" vertical="center"/>
    </xf>
    <xf numFmtId="0" fontId="19" fillId="6" borderId="0" xfId="6" applyFont="1" applyFill="1" applyAlignment="1">
      <alignment horizontal="center" vertical="center"/>
    </xf>
    <xf numFmtId="0" fontId="19" fillId="6" borderId="9" xfId="6" applyFont="1" applyFill="1" applyBorder="1" applyAlignment="1">
      <alignment horizontal="center" vertical="center"/>
    </xf>
    <xf numFmtId="170" fontId="19" fillId="0" borderId="4" xfId="6" applyNumberFormat="1" applyFont="1" applyBorder="1" applyAlignment="1">
      <alignment horizontal="center" vertical="center"/>
    </xf>
    <xf numFmtId="169" fontId="10" fillId="6" borderId="0" xfId="6" applyNumberFormat="1" applyFont="1" applyFill="1" applyAlignment="1">
      <alignment horizontal="center" vertical="center"/>
    </xf>
    <xf numFmtId="0" fontId="19" fillId="0" borderId="0" xfId="6" applyFont="1" applyAlignment="1">
      <alignment horizontal="center" vertical="center"/>
    </xf>
    <xf numFmtId="167" fontId="0" fillId="0" borderId="0" xfId="1" applyNumberFormat="1" applyFont="1"/>
    <xf numFmtId="0" fontId="20" fillId="0" borderId="0" xfId="6" applyFont="1" applyAlignment="1">
      <alignment vertical="center"/>
    </xf>
    <xf numFmtId="0" fontId="0" fillId="0" borderId="0" xfId="0" applyAlignment="1">
      <alignment horizontal="right"/>
    </xf>
    <xf numFmtId="0" fontId="8" fillId="9" borderId="0" xfId="0" applyFont="1" applyFill="1"/>
    <xf numFmtId="14" fontId="21" fillId="9" borderId="0" xfId="0" applyNumberFormat="1" applyFont="1" applyFill="1" applyAlignment="1">
      <alignment horizontal="right"/>
    </xf>
    <xf numFmtId="1" fontId="21" fillId="9" borderId="0" xfId="0" applyNumberFormat="1" applyFont="1" applyFill="1" applyAlignment="1">
      <alignment horizontal="right"/>
    </xf>
    <xf numFmtId="0" fontId="21" fillId="9" borderId="0" xfId="0" applyFont="1" applyFill="1" applyAlignment="1">
      <alignment horizontal="right"/>
    </xf>
    <xf numFmtId="0" fontId="22" fillId="0" borderId="0" xfId="0" applyFont="1"/>
    <xf numFmtId="164" fontId="23" fillId="3" borderId="1" xfId="7" applyFont="1"/>
    <xf numFmtId="0" fontId="22" fillId="0" borderId="0" xfId="0" applyFont="1" applyAlignment="1">
      <alignment horizontal="right"/>
    </xf>
    <xf numFmtId="171" fontId="24" fillId="8" borderId="0" xfId="0" quotePrefix="1" applyNumberFormat="1" applyFont="1" applyFill="1" applyAlignment="1">
      <alignment horizontal="center"/>
    </xf>
    <xf numFmtId="0" fontId="24" fillId="8" borderId="0" xfId="0" applyFont="1" applyFill="1"/>
    <xf numFmtId="0" fontId="25" fillId="8" borderId="0" xfId="0" applyFont="1" applyFill="1"/>
    <xf numFmtId="0" fontId="25" fillId="8" borderId="0" xfId="0" applyFont="1" applyFill="1" applyAlignment="1">
      <alignment horizontal="right"/>
    </xf>
    <xf numFmtId="0" fontId="26" fillId="0" borderId="9" xfId="0" applyFont="1" applyBorder="1"/>
    <xf numFmtId="172" fontId="26" fillId="0" borderId="9" xfId="0" applyNumberFormat="1" applyFont="1" applyBorder="1" applyAlignment="1">
      <alignment horizontal="right"/>
    </xf>
    <xf numFmtId="172" fontId="22" fillId="0" borderId="0" xfId="0" applyNumberFormat="1" applyFont="1" applyAlignment="1">
      <alignment horizontal="right"/>
    </xf>
    <xf numFmtId="0" fontId="24" fillId="6" borderId="0" xfId="0" applyFont="1" applyFill="1"/>
    <xf numFmtId="0" fontId="25" fillId="6" borderId="0" xfId="0" applyFont="1" applyFill="1"/>
    <xf numFmtId="0" fontId="25" fillId="6" borderId="0" xfId="0" applyFont="1" applyFill="1" applyAlignment="1">
      <alignment horizontal="right"/>
    </xf>
    <xf numFmtId="0" fontId="26" fillId="0" borderId="0" xfId="0" applyFont="1"/>
    <xf numFmtId="172" fontId="27" fillId="0" borderId="0" xfId="0" applyNumberFormat="1" applyFont="1" applyAlignment="1">
      <alignment horizontal="right"/>
    </xf>
    <xf numFmtId="0" fontId="28" fillId="0" borderId="0" xfId="0" applyFont="1" applyAlignment="1">
      <alignment horizontal="left" indent="1"/>
    </xf>
    <xf numFmtId="167" fontId="22" fillId="0" borderId="0" xfId="1" applyNumberFormat="1" applyFont="1" applyFill="1" applyAlignment="1">
      <alignment horizontal="right"/>
    </xf>
    <xf numFmtId="173" fontId="27" fillId="0" borderId="0" xfId="0" applyNumberFormat="1" applyFont="1" applyAlignment="1">
      <alignment horizontal="right"/>
    </xf>
    <xf numFmtId="172" fontId="26" fillId="0" borderId="0" xfId="0" applyNumberFormat="1" applyFont="1" applyAlignment="1">
      <alignment horizontal="right"/>
    </xf>
    <xf numFmtId="0" fontId="26" fillId="0" borderId="6" xfId="0" applyFont="1" applyBorder="1"/>
    <xf numFmtId="0" fontId="22" fillId="0" borderId="6" xfId="0" applyFont="1" applyBorder="1"/>
    <xf numFmtId="172" fontId="26" fillId="0" borderId="6" xfId="0" applyNumberFormat="1" applyFont="1" applyBorder="1" applyAlignment="1">
      <alignment horizontal="right"/>
    </xf>
    <xf numFmtId="0" fontId="28" fillId="0" borderId="0" xfId="0" applyFont="1"/>
    <xf numFmtId="0" fontId="26" fillId="0" borderId="9" xfId="0" applyFont="1" applyBorder="1" applyAlignment="1">
      <alignment horizontal="right"/>
    </xf>
    <xf numFmtId="9" fontId="22" fillId="0" borderId="0" xfId="1" applyFont="1" applyAlignment="1">
      <alignment horizontal="right"/>
    </xf>
    <xf numFmtId="172" fontId="22" fillId="0" borderId="0" xfId="0" applyNumberFormat="1" applyFont="1"/>
    <xf numFmtId="172" fontId="29" fillId="7" borderId="11" xfId="0" applyNumberFormat="1" applyFont="1" applyFill="1" applyBorder="1" applyAlignment="1">
      <alignment horizontal="right"/>
    </xf>
    <xf numFmtId="168" fontId="29" fillId="7" borderId="11" xfId="0" applyNumberFormat="1" applyFont="1" applyFill="1" applyBorder="1" applyAlignment="1">
      <alignment horizontal="right"/>
    </xf>
    <xf numFmtId="9" fontId="29" fillId="7" borderId="11" xfId="0" applyNumberFormat="1" applyFont="1" applyFill="1" applyBorder="1" applyAlignment="1">
      <alignment horizontal="right"/>
    </xf>
    <xf numFmtId="9" fontId="29" fillId="7" borderId="11" xfId="0" applyNumberFormat="1" applyFont="1" applyFill="1" applyBorder="1"/>
    <xf numFmtId="0" fontId="22" fillId="0" borderId="9" xfId="0" applyFont="1" applyBorder="1" applyAlignment="1">
      <alignment horizontal="right"/>
    </xf>
    <xf numFmtId="14" fontId="23" fillId="0" borderId="0" xfId="0" applyNumberFormat="1" applyFont="1"/>
    <xf numFmtId="168" fontId="23" fillId="0" borderId="0" xfId="0" applyNumberFormat="1" applyFont="1"/>
    <xf numFmtId="166" fontId="23" fillId="0" borderId="0" xfId="5" applyNumberFormat="1" applyFont="1"/>
    <xf numFmtId="166" fontId="23" fillId="0" borderId="0" xfId="5" applyNumberFormat="1" applyFont="1" applyAlignment="1">
      <alignment horizontal="right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22" fillId="0" borderId="3" xfId="0" applyFont="1" applyBorder="1"/>
    <xf numFmtId="0" fontId="30" fillId="0" borderId="0" xfId="8" applyFont="1" applyFill="1"/>
    <xf numFmtId="172" fontId="22" fillId="0" borderId="0" xfId="3" applyNumberFormat="1" applyFont="1"/>
    <xf numFmtId="0" fontId="8" fillId="0" borderId="5" xfId="6" applyFont="1" applyBorder="1" applyAlignment="1">
      <alignment vertical="center"/>
    </xf>
    <xf numFmtId="0" fontId="8" fillId="0" borderId="6" xfId="6" applyFont="1" applyBorder="1" applyAlignment="1">
      <alignment vertical="center"/>
    </xf>
    <xf numFmtId="166" fontId="23" fillId="0" borderId="7" xfId="5" applyNumberFormat="1" applyFont="1" applyBorder="1"/>
    <xf numFmtId="0" fontId="8" fillId="0" borderId="8" xfId="6" applyFont="1" applyBorder="1" applyAlignment="1">
      <alignment vertical="center"/>
    </xf>
    <xf numFmtId="0" fontId="8" fillId="0" borderId="9" xfId="6" applyFont="1" applyBorder="1" applyAlignment="1">
      <alignment vertical="center"/>
    </xf>
    <xf numFmtId="0" fontId="22" fillId="0" borderId="9" xfId="0" applyFont="1" applyBorder="1"/>
    <xf numFmtId="166" fontId="22" fillId="0" borderId="10" xfId="0" applyNumberFormat="1" applyFont="1" applyBorder="1"/>
    <xf numFmtId="166" fontId="22" fillId="0" borderId="0" xfId="0" applyNumberFormat="1" applyFont="1"/>
    <xf numFmtId="172" fontId="26" fillId="0" borderId="0" xfId="0" applyNumberFormat="1" applyFont="1"/>
    <xf numFmtId="0" fontId="17" fillId="0" borderId="0" xfId="2" applyFont="1" applyFill="1">
      <alignment horizontal="center" vertical="center"/>
    </xf>
    <xf numFmtId="164" fontId="32" fillId="0" borderId="0" xfId="9" applyFont="1" applyAlignment="1">
      <alignment horizontal="center"/>
    </xf>
    <xf numFmtId="172" fontId="22" fillId="0" borderId="0" xfId="0" applyNumberFormat="1" applyFont="1" applyAlignment="1">
      <alignment horizontal="center"/>
    </xf>
    <xf numFmtId="164" fontId="31" fillId="0" borderId="0" xfId="9" applyFont="1" applyAlignment="1">
      <alignment horizontal="center"/>
    </xf>
    <xf numFmtId="164" fontId="22" fillId="0" borderId="0" xfId="0" applyNumberFormat="1" applyFont="1" applyAlignment="1">
      <alignment horizontal="center"/>
    </xf>
    <xf numFmtId="0" fontId="22" fillId="0" borderId="0" xfId="0" applyFont="1" applyAlignment="1">
      <alignment horizontal="center"/>
    </xf>
    <xf numFmtId="167" fontId="22" fillId="0" borderId="0" xfId="0" applyNumberFormat="1" applyFont="1"/>
    <xf numFmtId="0" fontId="19" fillId="0" borderId="0" xfId="6" applyFont="1" applyAlignment="1">
      <alignment vertical="center"/>
    </xf>
    <xf numFmtId="164" fontId="26" fillId="0" borderId="0" xfId="0" applyNumberFormat="1" applyFont="1" applyAlignment="1">
      <alignment horizontal="center"/>
    </xf>
    <xf numFmtId="168" fontId="22" fillId="0" borderId="0" xfId="0" applyNumberFormat="1" applyFont="1" applyAlignment="1">
      <alignment horizontal="center"/>
    </xf>
    <xf numFmtId="167" fontId="22" fillId="0" borderId="0" xfId="1" applyNumberFormat="1" applyFont="1" applyAlignment="1">
      <alignment horizontal="center"/>
    </xf>
    <xf numFmtId="172" fontId="31" fillId="0" borderId="0" xfId="9" applyNumberFormat="1" applyFont="1" applyAlignment="1">
      <alignment horizontal="right"/>
    </xf>
    <xf numFmtId="164" fontId="22" fillId="0" borderId="0" xfId="0" applyNumberFormat="1" applyFont="1" applyAlignment="1">
      <alignment horizontal="right"/>
    </xf>
    <xf numFmtId="0" fontId="17" fillId="0" borderId="0" xfId="2" applyFont="1" applyFill="1" applyAlignment="1">
      <alignment horizontal="right" vertical="center"/>
    </xf>
    <xf numFmtId="175" fontId="23" fillId="3" borderId="1" xfId="4" applyNumberFormat="1" applyFont="1" applyAlignment="1">
      <alignment horizontal="right"/>
    </xf>
    <xf numFmtId="172" fontId="23" fillId="3" borderId="1" xfId="4" applyNumberFormat="1" applyFont="1" applyAlignment="1">
      <alignment horizontal="right"/>
    </xf>
    <xf numFmtId="0" fontId="26" fillId="0" borderId="0" xfId="0" applyFont="1" applyAlignment="1">
      <alignment horizontal="right"/>
    </xf>
    <xf numFmtId="167" fontId="22" fillId="0" borderId="0" xfId="0" applyNumberFormat="1" applyFont="1" applyAlignment="1">
      <alignment horizontal="center"/>
    </xf>
    <xf numFmtId="174" fontId="22" fillId="0" borderId="0" xfId="1" applyNumberFormat="1" applyFont="1" applyAlignment="1">
      <alignment horizontal="right"/>
    </xf>
    <xf numFmtId="174" fontId="33" fillId="7" borderId="11" xfId="0" applyNumberFormat="1" applyFont="1" applyFill="1" applyBorder="1" applyAlignment="1">
      <alignment horizontal="right"/>
    </xf>
    <xf numFmtId="173" fontId="22" fillId="0" borderId="0" xfId="0" applyNumberFormat="1" applyFont="1" applyAlignment="1">
      <alignment horizontal="right"/>
    </xf>
    <xf numFmtId="173" fontId="22" fillId="0" borderId="0" xfId="1" applyNumberFormat="1" applyFont="1" applyAlignment="1">
      <alignment horizontal="right"/>
    </xf>
    <xf numFmtId="174" fontId="22" fillId="0" borderId="0" xfId="0" applyNumberFormat="1" applyFont="1"/>
    <xf numFmtId="0" fontId="22" fillId="9" borderId="0" xfId="0" applyFont="1" applyFill="1" applyAlignment="1">
      <alignment horizontal="right"/>
    </xf>
    <xf numFmtId="14" fontId="22" fillId="9" borderId="0" xfId="0" applyNumberFormat="1" applyFont="1" applyFill="1" applyAlignment="1">
      <alignment horizontal="right"/>
    </xf>
    <xf numFmtId="1" fontId="22" fillId="9" borderId="0" xfId="0" applyNumberFormat="1" applyFont="1" applyFill="1" applyAlignment="1">
      <alignment horizontal="right"/>
    </xf>
    <xf numFmtId="0" fontId="22" fillId="9" borderId="0" xfId="0" applyFont="1" applyFill="1" applyAlignment="1">
      <alignment horizontal="left"/>
    </xf>
    <xf numFmtId="172" fontId="34" fillId="0" borderId="0" xfId="0" applyNumberFormat="1" applyFont="1"/>
    <xf numFmtId="172" fontId="22" fillId="0" borderId="6" xfId="0" applyNumberFormat="1" applyFont="1" applyBorder="1"/>
    <xf numFmtId="173" fontId="22" fillId="0" borderId="0" xfId="0" applyNumberFormat="1" applyFont="1"/>
    <xf numFmtId="173" fontId="22" fillId="0" borderId="6" xfId="0" applyNumberFormat="1" applyFont="1" applyBorder="1"/>
    <xf numFmtId="174" fontId="23" fillId="10" borderId="0" xfId="0" applyNumberFormat="1" applyFont="1" applyFill="1"/>
    <xf numFmtId="172" fontId="23" fillId="10" borderId="0" xfId="0" applyNumberFormat="1" applyFont="1" applyFill="1"/>
    <xf numFmtId="173" fontId="23" fillId="10" borderId="0" xfId="0" applyNumberFormat="1" applyFont="1" applyFill="1"/>
    <xf numFmtId="172" fontId="23" fillId="10" borderId="6" xfId="0" applyNumberFormat="1" applyFont="1" applyFill="1" applyBorder="1"/>
    <xf numFmtId="0" fontId="15" fillId="11" borderId="0" xfId="10" applyFont="1" applyFill="1" applyAlignment="1">
      <alignment vertical="center"/>
    </xf>
    <xf numFmtId="0" fontId="16" fillId="11" borderId="0" xfId="10" applyFont="1" applyFill="1" applyAlignment="1">
      <alignment vertical="center"/>
    </xf>
    <xf numFmtId="0" fontId="35" fillId="11" borderId="0" xfId="0" applyFont="1" applyFill="1"/>
    <xf numFmtId="171" fontId="24" fillId="11" borderId="0" xfId="0" quotePrefix="1" applyNumberFormat="1" applyFont="1" applyFill="1" applyAlignment="1">
      <alignment horizontal="center"/>
    </xf>
    <xf numFmtId="0" fontId="24" fillId="11" borderId="0" xfId="0" applyFont="1" applyFill="1"/>
    <xf numFmtId="0" fontId="25" fillId="11" borderId="0" xfId="0" applyFont="1" applyFill="1"/>
    <xf numFmtId="0" fontId="25" fillId="11" borderId="0" xfId="0" applyFont="1" applyFill="1" applyAlignment="1">
      <alignment horizontal="right"/>
    </xf>
    <xf numFmtId="0" fontId="24" fillId="12" borderId="0" xfId="0" applyFont="1" applyFill="1"/>
    <xf numFmtId="0" fontId="25" fillId="12" borderId="0" xfId="0" applyFont="1" applyFill="1"/>
    <xf numFmtId="0" fontId="25" fillId="12" borderId="0" xfId="0" applyFont="1" applyFill="1" applyAlignment="1">
      <alignment horizontal="right"/>
    </xf>
    <xf numFmtId="174" fontId="33" fillId="3" borderId="12" xfId="0" applyNumberFormat="1" applyFont="1" applyFill="1" applyBorder="1" applyAlignment="1">
      <alignment horizontal="right"/>
    </xf>
    <xf numFmtId="174" fontId="33" fillId="3" borderId="13" xfId="0" applyNumberFormat="1" applyFont="1" applyFill="1" applyBorder="1" applyAlignment="1">
      <alignment horizontal="right"/>
    </xf>
    <xf numFmtId="174" fontId="33" fillId="3" borderId="14" xfId="0" applyNumberFormat="1" applyFont="1" applyFill="1" applyBorder="1" applyAlignment="1">
      <alignment horizontal="right"/>
    </xf>
    <xf numFmtId="174" fontId="23" fillId="3" borderId="15" xfId="0" applyNumberFormat="1" applyFont="1" applyFill="1" applyBorder="1"/>
    <xf numFmtId="174" fontId="23" fillId="3" borderId="16" xfId="0" applyNumberFormat="1" applyFont="1" applyFill="1" applyBorder="1"/>
    <xf numFmtId="174" fontId="23" fillId="3" borderId="17" xfId="0" applyNumberFormat="1" applyFont="1" applyFill="1" applyBorder="1"/>
    <xf numFmtId="174" fontId="23" fillId="3" borderId="18" xfId="0" applyNumberFormat="1" applyFont="1" applyFill="1" applyBorder="1"/>
    <xf numFmtId="174" fontId="23" fillId="3" borderId="19" xfId="0" applyNumberFormat="1" applyFont="1" applyFill="1" applyBorder="1"/>
    <xf numFmtId="174" fontId="23" fillId="3" borderId="20" xfId="0" applyNumberFormat="1" applyFont="1" applyFill="1" applyBorder="1"/>
    <xf numFmtId="172" fontId="23" fillId="3" borderId="18" xfId="0" applyNumberFormat="1" applyFont="1" applyFill="1" applyBorder="1"/>
    <xf numFmtId="172" fontId="23" fillId="3" borderId="19" xfId="0" applyNumberFormat="1" applyFont="1" applyFill="1" applyBorder="1"/>
    <xf numFmtId="172" fontId="23" fillId="3" borderId="20" xfId="0" applyNumberFormat="1" applyFont="1" applyFill="1" applyBorder="1"/>
    <xf numFmtId="172" fontId="23" fillId="3" borderId="1" xfId="0" applyNumberFormat="1" applyFont="1" applyFill="1" applyBorder="1"/>
    <xf numFmtId="174" fontId="23" fillId="3" borderId="1" xfId="0" applyNumberFormat="1" applyFont="1" applyFill="1" applyBorder="1"/>
    <xf numFmtId="173" fontId="23" fillId="3" borderId="18" xfId="0" applyNumberFormat="1" applyFont="1" applyFill="1" applyBorder="1"/>
    <xf numFmtId="173" fontId="23" fillId="3" borderId="19" xfId="0" applyNumberFormat="1" applyFont="1" applyFill="1" applyBorder="1"/>
    <xf numFmtId="173" fontId="23" fillId="3" borderId="20" xfId="0" applyNumberFormat="1" applyFont="1" applyFill="1" applyBorder="1"/>
    <xf numFmtId="173" fontId="23" fillId="3" borderId="1" xfId="0" applyNumberFormat="1" applyFont="1" applyFill="1" applyBorder="1"/>
    <xf numFmtId="172" fontId="29" fillId="3" borderId="21" xfId="0" applyNumberFormat="1" applyFont="1" applyFill="1" applyBorder="1" applyAlignment="1">
      <alignment horizontal="right"/>
    </xf>
    <xf numFmtId="172" fontId="29" fillId="3" borderId="22" xfId="0" applyNumberFormat="1" applyFont="1" applyFill="1" applyBorder="1" applyAlignment="1">
      <alignment horizontal="right"/>
    </xf>
    <xf numFmtId="168" fontId="29" fillId="3" borderId="1" xfId="0" applyNumberFormat="1" applyFont="1" applyFill="1" applyBorder="1" applyAlignment="1">
      <alignment horizontal="right"/>
    </xf>
    <xf numFmtId="9" fontId="29" fillId="3" borderId="12" xfId="0" applyNumberFormat="1" applyFont="1" applyFill="1" applyBorder="1" applyAlignment="1">
      <alignment horizontal="right"/>
    </xf>
    <xf numFmtId="9" fontId="29" fillId="3" borderId="13" xfId="0" applyNumberFormat="1" applyFont="1" applyFill="1" applyBorder="1" applyAlignment="1">
      <alignment horizontal="right"/>
    </xf>
    <xf numFmtId="9" fontId="29" fillId="3" borderId="14" xfId="0" applyNumberFormat="1" applyFont="1" applyFill="1" applyBorder="1" applyAlignment="1">
      <alignment horizontal="right"/>
    </xf>
    <xf numFmtId="9" fontId="29" fillId="3" borderId="12" xfId="0" applyNumberFormat="1" applyFont="1" applyFill="1" applyBorder="1"/>
    <xf numFmtId="9" fontId="29" fillId="3" borderId="13" xfId="0" applyNumberFormat="1" applyFont="1" applyFill="1" applyBorder="1"/>
    <xf numFmtId="9" fontId="29" fillId="3" borderId="14" xfId="0" applyNumberFormat="1" applyFont="1" applyFill="1" applyBorder="1"/>
    <xf numFmtId="9" fontId="29" fillId="3" borderId="1" xfId="0" applyNumberFormat="1" applyFont="1" applyFill="1" applyBorder="1" applyAlignment="1">
      <alignment horizontal="right"/>
    </xf>
    <xf numFmtId="172" fontId="24" fillId="12" borderId="0" xfId="0" applyNumberFormat="1" applyFont="1" applyFill="1"/>
    <xf numFmtId="172" fontId="23" fillId="3" borderId="21" xfId="0" applyNumberFormat="1" applyFont="1" applyFill="1" applyBorder="1" applyAlignment="1">
      <alignment horizontal="right"/>
    </xf>
    <xf numFmtId="172" fontId="23" fillId="3" borderId="22" xfId="0" applyNumberFormat="1" applyFont="1" applyFill="1" applyBorder="1" applyAlignment="1">
      <alignment horizontal="right"/>
    </xf>
    <xf numFmtId="168" fontId="23" fillId="3" borderId="1" xfId="0" applyNumberFormat="1" applyFont="1" applyFill="1" applyBorder="1" applyAlignment="1">
      <alignment horizontal="right"/>
    </xf>
    <xf numFmtId="9" fontId="23" fillId="3" borderId="13" xfId="0" applyNumberFormat="1" applyFont="1" applyFill="1" applyBorder="1" applyAlignment="1">
      <alignment horizontal="right"/>
    </xf>
    <xf numFmtId="9" fontId="23" fillId="3" borderId="12" xfId="0" applyNumberFormat="1" applyFont="1" applyFill="1" applyBorder="1" applyAlignment="1">
      <alignment horizontal="right"/>
    </xf>
    <xf numFmtId="9" fontId="23" fillId="3" borderId="14" xfId="0" applyNumberFormat="1" applyFont="1" applyFill="1" applyBorder="1" applyAlignment="1">
      <alignment horizontal="right"/>
    </xf>
    <xf numFmtId="9" fontId="23" fillId="3" borderId="13" xfId="0" applyNumberFormat="1" applyFont="1" applyFill="1" applyBorder="1"/>
    <xf numFmtId="9" fontId="23" fillId="3" borderId="12" xfId="0" applyNumberFormat="1" applyFont="1" applyFill="1" applyBorder="1"/>
    <xf numFmtId="9" fontId="23" fillId="3" borderId="14" xfId="0" applyNumberFormat="1" applyFont="1" applyFill="1" applyBorder="1"/>
    <xf numFmtId="9" fontId="23" fillId="3" borderId="1" xfId="0" applyNumberFormat="1" applyFont="1" applyFill="1" applyBorder="1" applyAlignment="1">
      <alignment horizontal="right"/>
    </xf>
    <xf numFmtId="174" fontId="23" fillId="3" borderId="13" xfId="0" applyNumberFormat="1" applyFont="1" applyFill="1" applyBorder="1" applyAlignment="1">
      <alignment horizontal="right"/>
    </xf>
    <xf numFmtId="174" fontId="23" fillId="3" borderId="12" xfId="0" applyNumberFormat="1" applyFont="1" applyFill="1" applyBorder="1" applyAlignment="1">
      <alignment horizontal="right"/>
    </xf>
    <xf numFmtId="174" fontId="23" fillId="3" borderId="14" xfId="0" applyNumberFormat="1" applyFont="1" applyFill="1" applyBorder="1" applyAlignment="1">
      <alignment horizontal="right"/>
    </xf>
    <xf numFmtId="0" fontId="36" fillId="11" borderId="0" xfId="0" applyFont="1" applyFill="1"/>
    <xf numFmtId="0" fontId="37" fillId="11" borderId="0" xfId="0" applyFont="1" applyFill="1"/>
    <xf numFmtId="171" fontId="35" fillId="11" borderId="0" xfId="0" quotePrefix="1" applyNumberFormat="1" applyFont="1" applyFill="1" applyAlignment="1">
      <alignment horizontal="center"/>
    </xf>
    <xf numFmtId="0" fontId="35" fillId="11" borderId="0" xfId="0" applyFont="1" applyFill="1" applyAlignment="1">
      <alignment horizontal="right"/>
    </xf>
    <xf numFmtId="0" fontId="38" fillId="11" borderId="0" xfId="0" applyFont="1" applyFill="1"/>
    <xf numFmtId="0" fontId="24" fillId="12" borderId="0" xfId="0" applyFont="1" applyFill="1" applyAlignment="1">
      <alignment horizontal="right"/>
    </xf>
    <xf numFmtId="0" fontId="35" fillId="12" borderId="0" xfId="0" applyFont="1" applyFill="1"/>
    <xf numFmtId="0" fontId="35" fillId="12" borderId="0" xfId="0" applyFont="1" applyFill="1" applyAlignment="1">
      <alignment horizontal="right"/>
    </xf>
    <xf numFmtId="0" fontId="38" fillId="12" borderId="0" xfId="0" applyFont="1" applyFill="1"/>
    <xf numFmtId="0" fontId="38" fillId="11" borderId="0" xfId="0" applyFont="1" applyFill="1" applyAlignment="1">
      <alignment horizontal="right"/>
    </xf>
    <xf numFmtId="0" fontId="36" fillId="11" borderId="0" xfId="0" applyFont="1" applyFill="1" applyAlignment="1">
      <alignment horizontal="right"/>
    </xf>
    <xf numFmtId="172" fontId="39" fillId="0" borderId="0" xfId="0" applyNumberFormat="1" applyFont="1" applyAlignment="1">
      <alignment horizontal="right"/>
    </xf>
    <xf numFmtId="168" fontId="23" fillId="0" borderId="0" xfId="0" applyNumberFormat="1" applyFont="1" applyAlignment="1">
      <alignment horizontal="right"/>
    </xf>
    <xf numFmtId="167" fontId="9" fillId="0" borderId="0" xfId="6" applyNumberFormat="1" applyFont="1" applyAlignment="1">
      <alignment horizontal="right" vertical="center"/>
    </xf>
    <xf numFmtId="10" fontId="9" fillId="0" borderId="0" xfId="6" applyNumberFormat="1" applyFont="1" applyAlignment="1">
      <alignment horizontal="right" vertical="center"/>
    </xf>
    <xf numFmtId="167" fontId="10" fillId="0" borderId="0" xfId="6" applyNumberFormat="1" applyFont="1" applyAlignment="1">
      <alignment horizontal="right" vertical="center"/>
    </xf>
  </cellXfs>
  <cellStyles count="11">
    <cellStyle name="Generic" xfId="3" xr:uid="{F7033316-2131-48E5-83DA-903D17F55D8E}"/>
    <cellStyle name="Input 2" xfId="7" xr:uid="{4061851E-846B-452B-8955-26CAC1B9DB61}"/>
    <cellStyle name="Input Percentage" xfId="4" xr:uid="{8585CF65-92AA-4C26-A97B-469A909D65B1}"/>
    <cellStyle name="Linked" xfId="9" xr:uid="{C21D0337-7DC7-471F-8E35-3A8D6BA70AE8}"/>
    <cellStyle name="Normal" xfId="0" builtinId="0"/>
    <cellStyle name="Normal 4" xfId="6" xr:uid="{8CEE79AE-D078-4B26-B2D7-6A5E30747887}"/>
    <cellStyle name="Normal_Troy(8-7-03)" xfId="10" xr:uid="{6B610F55-6FB7-471D-95FA-4C120659BECC}"/>
    <cellStyle name="Per cent" xfId="1" builtinId="5"/>
    <cellStyle name="Percentages" xfId="5" xr:uid="{507A64D5-F3FB-4215-A94B-BD3C13A705B0}"/>
    <cellStyle name="Subtitle" xfId="8" xr:uid="{F2FDCC54-453A-4B17-9B29-1F4DF6080CB6}"/>
    <cellStyle name="Year" xfId="2" xr:uid="{E63C59C8-8768-4FD0-A80D-BF48891381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C93C5D8A-10E1-4B1B-BBBC-DDBA75B87895}">
  <we:reference id="wa200008399" version="1.0.0.4" store="en-US" storeType="OMEX"/>
  <we:alternateReferences>
    <we:reference id="wa200008399" version="1.0.0.4" store="wa200008399" storeType="OMEX"/>
  </we:alternateReferences>
  <we:properties>
    <we:property name="ProjectMetadata" value="&quot;{\&quot;projectId\&quot;:5188}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4109C-3E22-4DFB-B4C1-83EBB0F4A683}">
  <sheetPr>
    <tabColor theme="0" tint="-0.14999847407452621"/>
  </sheetPr>
  <dimension ref="A1:AS102"/>
  <sheetViews>
    <sheetView showGridLines="0" tabSelected="1" view="pageBreakPreview" zoomScaleNormal="90" zoomScaleSheetLayoutView="100" workbookViewId="0"/>
  </sheetViews>
  <sheetFormatPr baseColWidth="10" defaultColWidth="8.83203125" defaultRowHeight="15" x14ac:dyDescent="0.2"/>
  <cols>
    <col min="1" max="3" width="2.5" customWidth="1"/>
    <col min="4" max="4" width="2.1640625" customWidth="1"/>
    <col min="5" max="12" width="12.83203125" customWidth="1"/>
    <col min="13" max="13" width="13.5" customWidth="1"/>
    <col min="14" max="14" width="12.83203125" customWidth="1"/>
    <col min="15" max="15" width="15.1640625" bestFit="1" customWidth="1"/>
    <col min="16" max="16" width="14.5" bestFit="1" customWidth="1"/>
    <col min="17" max="17" width="13.5" bestFit="1" customWidth="1"/>
    <col min="18" max="18" width="12.83203125" customWidth="1"/>
    <col min="19" max="19" width="15.1640625" bestFit="1" customWidth="1"/>
    <col min="20" max="28" width="12.83203125" customWidth="1"/>
    <col min="29" max="29" width="3.1640625" customWidth="1"/>
  </cols>
  <sheetData>
    <row r="1" spans="1:45" ht="19" x14ac:dyDescent="0.25">
      <c r="A1" s="165" t="str" cm="1">
        <f t="array" aca="1" ref="A1" ca="1">MID(CELL("filename",B1),FIND("]",CELL("filename",B1))+1,255)</f>
        <v>LBO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  <c r="AR1" s="165"/>
      <c r="AS1" s="165"/>
    </row>
    <row r="2" spans="1:45" x14ac:dyDescent="0.2">
      <c r="C2" s="1"/>
    </row>
    <row r="3" spans="1:45" x14ac:dyDescent="0.2">
      <c r="A3" s="113"/>
      <c r="B3" s="113"/>
      <c r="C3" s="113">
        <v>1</v>
      </c>
      <c r="D3" s="113" t="s">
        <v>73</v>
      </c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</row>
    <row r="4" spans="1:45" x14ac:dyDescent="0.2">
      <c r="C4" s="1"/>
    </row>
    <row r="5" spans="1:45" x14ac:dyDescent="0.2">
      <c r="D5" s="3" t="s">
        <v>4</v>
      </c>
      <c r="E5" s="3"/>
      <c r="F5" s="29"/>
      <c r="G5" s="60">
        <v>46022</v>
      </c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AC5" s="1" t="s">
        <v>5</v>
      </c>
    </row>
    <row r="6" spans="1:45" x14ac:dyDescent="0.2">
      <c r="D6" s="3" t="s">
        <v>6</v>
      </c>
      <c r="E6" s="3"/>
      <c r="F6" s="29"/>
      <c r="G6" s="60">
        <v>47483</v>
      </c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AC6" s="1">
        <v>1</v>
      </c>
      <c r="AD6" t="s">
        <v>7</v>
      </c>
    </row>
    <row r="7" spans="1:45" x14ac:dyDescent="0.2">
      <c r="D7" s="3" t="s">
        <v>8</v>
      </c>
      <c r="E7" s="3"/>
      <c r="F7" s="29"/>
      <c r="G7" s="61">
        <v>12</v>
      </c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AC7" s="1">
        <f>MAX($AC$6:AC6)+1</f>
        <v>2</v>
      </c>
      <c r="AD7" t="s">
        <v>99</v>
      </c>
    </row>
    <row r="8" spans="1:45" x14ac:dyDescent="0.2">
      <c r="D8" s="3" t="s">
        <v>94</v>
      </c>
      <c r="E8" s="3"/>
      <c r="F8" s="29"/>
      <c r="G8" s="61">
        <v>12</v>
      </c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AC8" s="1">
        <f>MAX($AC$6:AC7)+1</f>
        <v>3</v>
      </c>
      <c r="AD8" t="s">
        <v>100</v>
      </c>
    </row>
    <row r="9" spans="1:45" x14ac:dyDescent="0.2">
      <c r="D9" s="3" t="s">
        <v>9</v>
      </c>
      <c r="E9" s="3"/>
      <c r="F9" s="29"/>
      <c r="G9" s="62">
        <v>2.5000000000000001E-2</v>
      </c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AC9" s="1">
        <f>MAX($AC$6:AC8)+1</f>
        <v>4</v>
      </c>
      <c r="AD9" t="s">
        <v>12</v>
      </c>
    </row>
    <row r="10" spans="1:45" x14ac:dyDescent="0.2">
      <c r="D10" s="3" t="s">
        <v>11</v>
      </c>
      <c r="E10" s="3"/>
      <c r="F10" s="29"/>
      <c r="G10" s="63" t="s">
        <v>168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AC10" s="1">
        <f>MAX($AC$6:AC9)+1</f>
        <v>5</v>
      </c>
      <c r="AD10" t="s">
        <v>13</v>
      </c>
    </row>
    <row r="11" spans="1:45" x14ac:dyDescent="0.2">
      <c r="D11" s="64" t="s">
        <v>169</v>
      </c>
      <c r="E11" s="65"/>
      <c r="F11" s="66"/>
      <c r="G11" s="30">
        <v>0</v>
      </c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AC11" s="1">
        <f>MAX($AC$6:AC10)+1</f>
        <v>6</v>
      </c>
      <c r="AD11" t="s">
        <v>101</v>
      </c>
    </row>
    <row r="12" spans="1:45" x14ac:dyDescent="0.2"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AC12" s="1">
        <f>MAX($AC$6:AC11)+1</f>
        <v>7</v>
      </c>
      <c r="AD12" t="s">
        <v>102</v>
      </c>
    </row>
    <row r="13" spans="1:45" x14ac:dyDescent="0.2"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AC13" s="1">
        <f>MAX($AC$6:AC12)+1</f>
        <v>8</v>
      </c>
      <c r="AD13" t="s">
        <v>103</v>
      </c>
    </row>
    <row r="14" spans="1:45" x14ac:dyDescent="0.2">
      <c r="D14" s="29"/>
      <c r="E14" s="120" t="s">
        <v>14</v>
      </c>
      <c r="F14" s="120"/>
      <c r="G14" s="120" t="s">
        <v>15</v>
      </c>
      <c r="H14" s="120"/>
      <c r="I14" s="29"/>
      <c r="J14" s="120" t="s">
        <v>16</v>
      </c>
      <c r="K14" s="120"/>
      <c r="L14" s="120"/>
      <c r="M14" s="120"/>
      <c r="N14" s="151">
        <f>H22-SUM(H15:H15)</f>
        <v>72.398023895999984</v>
      </c>
      <c r="O14" s="120" t="s">
        <v>10</v>
      </c>
      <c r="P14" s="170" t="s">
        <v>17</v>
      </c>
      <c r="Q14" s="170" t="str">
        <f>YEAR(G5) &amp; " EBITDA"</f>
        <v>2025 EBITDA</v>
      </c>
      <c r="R14" s="170" t="s">
        <v>18</v>
      </c>
      <c r="S14" s="170" t="s">
        <v>19</v>
      </c>
      <c r="T14" s="170" t="s">
        <v>20</v>
      </c>
      <c r="U14" s="67"/>
      <c r="V14" s="2"/>
      <c r="W14" s="2"/>
      <c r="X14" s="2"/>
      <c r="Y14" s="2"/>
      <c r="Z14" s="2"/>
      <c r="AA14" s="2"/>
      <c r="AB14" s="2"/>
      <c r="AC14" s="1"/>
    </row>
    <row r="15" spans="1:45" x14ac:dyDescent="0.2">
      <c r="D15" s="29"/>
      <c r="E15" s="29" t="s">
        <v>21</v>
      </c>
      <c r="F15" s="68">
        <f>Q15*G7</f>
        <v>119.01045023999998</v>
      </c>
      <c r="G15" s="29" t="s">
        <v>22</v>
      </c>
      <c r="H15" s="68">
        <f>Q15*P15</f>
        <v>49.587687599999988</v>
      </c>
      <c r="I15" s="29"/>
      <c r="J15" s="3" t="s">
        <v>23</v>
      </c>
      <c r="K15" s="3"/>
      <c r="L15" s="3"/>
      <c r="M15" s="29"/>
      <c r="N15" s="62">
        <v>0.2</v>
      </c>
      <c r="O15" s="29" t="s">
        <v>72</v>
      </c>
      <c r="P15" s="177">
        <v>5</v>
      </c>
      <c r="Q15" s="89">
        <f>'Acquisition Assumptions'!I19</f>
        <v>9.917537519999998</v>
      </c>
      <c r="R15" s="178">
        <v>0.1</v>
      </c>
      <c r="S15" s="178">
        <v>0</v>
      </c>
      <c r="T15" s="180">
        <f>R15+S15</f>
        <v>0.1</v>
      </c>
      <c r="U15" s="5"/>
      <c r="V15" s="5"/>
      <c r="W15" s="5"/>
      <c r="X15" s="5"/>
      <c r="Y15" s="5"/>
      <c r="Z15" s="5"/>
      <c r="AA15" s="5"/>
      <c r="AB15" s="5"/>
    </row>
    <row r="16" spans="1:45" x14ac:dyDescent="0.2">
      <c r="D16" s="29"/>
      <c r="E16" s="29" t="s">
        <v>24</v>
      </c>
      <c r="F16" s="68">
        <f>F15*G9</f>
        <v>2.9752612559999996</v>
      </c>
      <c r="G16" s="29" t="s">
        <v>27</v>
      </c>
      <c r="H16" s="54">
        <f>N14*N15*N16</f>
        <v>2.8959209558399994</v>
      </c>
      <c r="I16" s="29"/>
      <c r="J16" s="69" t="s">
        <v>25</v>
      </c>
      <c r="K16" s="70"/>
      <c r="L16" s="70"/>
      <c r="M16" s="49"/>
      <c r="N16" s="71">
        <v>0.2</v>
      </c>
      <c r="O16" s="29" t="s">
        <v>107</v>
      </c>
      <c r="P16" s="31"/>
      <c r="Q16" s="31"/>
      <c r="R16" s="178">
        <v>0</v>
      </c>
      <c r="S16" s="179"/>
      <c r="T16" s="180">
        <f>R16+S16</f>
        <v>0</v>
      </c>
      <c r="U16" s="29"/>
      <c r="X16" s="5"/>
      <c r="Y16" s="5"/>
      <c r="Z16" s="5"/>
      <c r="AA16" s="5"/>
      <c r="AB16" s="5"/>
    </row>
    <row r="17" spans="1:29" x14ac:dyDescent="0.2">
      <c r="D17" s="29"/>
      <c r="E17" s="29"/>
      <c r="F17" s="54"/>
      <c r="G17" s="29" t="s">
        <v>29</v>
      </c>
      <c r="H17" s="54">
        <f>N14*N15*N17</f>
        <v>11.583683823359998</v>
      </c>
      <c r="I17" s="29"/>
      <c r="J17" s="72" t="s">
        <v>26</v>
      </c>
      <c r="K17" s="73"/>
      <c r="L17" s="73"/>
      <c r="M17" s="74"/>
      <c r="N17" s="75">
        <f>1-N16</f>
        <v>0.8</v>
      </c>
      <c r="O17" s="29" t="s">
        <v>106</v>
      </c>
      <c r="P17" s="31"/>
      <c r="Q17" s="31"/>
      <c r="R17" s="178">
        <v>0.1</v>
      </c>
      <c r="S17" s="179"/>
      <c r="T17" s="180">
        <f>R17+S17</f>
        <v>0.1</v>
      </c>
      <c r="U17" s="5"/>
      <c r="V17" s="5"/>
      <c r="W17" s="5"/>
      <c r="X17" s="5"/>
      <c r="Y17" s="5"/>
      <c r="Z17" s="5"/>
      <c r="AA17" s="5"/>
      <c r="AB17" s="5"/>
    </row>
    <row r="18" spans="1:29" x14ac:dyDescent="0.2">
      <c r="D18" s="29"/>
      <c r="E18" s="29"/>
      <c r="F18" s="54"/>
      <c r="G18" s="29" t="s">
        <v>31</v>
      </c>
      <c r="H18" s="54">
        <f>N14*N19*N20</f>
        <v>0</v>
      </c>
      <c r="I18" s="29"/>
      <c r="J18" s="3"/>
      <c r="K18" s="3"/>
      <c r="L18" s="3"/>
      <c r="M18" s="29"/>
      <c r="N18" s="76"/>
      <c r="O18" s="29"/>
      <c r="P18" s="29"/>
      <c r="Q18" s="29"/>
      <c r="R18" s="4"/>
      <c r="S18" s="4"/>
      <c r="T18" s="5"/>
      <c r="U18" s="29"/>
    </row>
    <row r="19" spans="1:29" x14ac:dyDescent="0.2">
      <c r="D19" s="29"/>
      <c r="E19" s="29"/>
      <c r="F19" s="54"/>
      <c r="G19" s="29" t="s">
        <v>33</v>
      </c>
      <c r="H19" s="54">
        <f>N14*N19*N21</f>
        <v>57.918419116799988</v>
      </c>
      <c r="I19" s="29"/>
      <c r="J19" s="3" t="s">
        <v>30</v>
      </c>
      <c r="K19" s="3"/>
      <c r="L19" s="3"/>
      <c r="M19" s="29"/>
      <c r="N19" s="76">
        <f>1-N15</f>
        <v>0.8</v>
      </c>
      <c r="O19" s="29"/>
      <c r="P19" s="29"/>
      <c r="Q19" s="29"/>
      <c r="R19" s="4"/>
      <c r="S19" s="4"/>
      <c r="T19" s="5"/>
      <c r="U19" s="29"/>
    </row>
    <row r="20" spans="1:29" x14ac:dyDescent="0.2">
      <c r="D20" s="29"/>
      <c r="E20" s="29"/>
      <c r="F20" s="54"/>
      <c r="I20" s="29"/>
      <c r="J20" s="69" t="s">
        <v>32</v>
      </c>
      <c r="K20" s="70"/>
      <c r="L20" s="70"/>
      <c r="M20" s="49"/>
      <c r="N20" s="71">
        <v>0</v>
      </c>
      <c r="O20" s="29"/>
      <c r="P20" s="29"/>
      <c r="Q20" s="29"/>
      <c r="R20" s="29"/>
      <c r="S20" s="29"/>
      <c r="T20" s="29"/>
      <c r="U20" s="29"/>
    </row>
    <row r="21" spans="1:29" x14ac:dyDescent="0.2">
      <c r="D21" s="29"/>
      <c r="E21" s="29"/>
      <c r="F21" s="54"/>
      <c r="I21" s="29"/>
      <c r="J21" s="72" t="s">
        <v>34</v>
      </c>
      <c r="K21" s="73"/>
      <c r="L21" s="73"/>
      <c r="M21" s="74"/>
      <c r="N21" s="75">
        <f>1-N20</f>
        <v>1</v>
      </c>
      <c r="O21" s="29"/>
      <c r="P21" s="29"/>
      <c r="Q21" s="29"/>
      <c r="R21" s="29"/>
      <c r="S21" s="29"/>
      <c r="T21" s="29"/>
      <c r="U21" s="29"/>
    </row>
    <row r="22" spans="1:29" x14ac:dyDescent="0.2">
      <c r="D22" s="29"/>
      <c r="E22" s="42" t="s">
        <v>35</v>
      </c>
      <c r="F22" s="77">
        <f>SUM(F15:F18)</f>
        <v>121.98571149599998</v>
      </c>
      <c r="G22" s="42" t="s">
        <v>36</v>
      </c>
      <c r="H22" s="77">
        <f>F22</f>
        <v>121.98571149599998</v>
      </c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AC22" s="7" t="s">
        <v>37</v>
      </c>
    </row>
    <row r="24" spans="1:29" x14ac:dyDescent="0.2">
      <c r="A24" s="113"/>
      <c r="B24" s="113"/>
      <c r="C24" s="113">
        <v>2</v>
      </c>
      <c r="D24" s="113" t="s">
        <v>74</v>
      </c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4"/>
      <c r="AA24" s="114"/>
      <c r="AB24" s="114"/>
    </row>
    <row r="26" spans="1:29" x14ac:dyDescent="0.2">
      <c r="J26" s="8"/>
      <c r="K26" s="8"/>
      <c r="L26" s="8"/>
      <c r="N26" s="6"/>
    </row>
    <row r="27" spans="1:29" x14ac:dyDescent="0.2">
      <c r="E27" s="29"/>
      <c r="F27" s="29"/>
      <c r="G27" s="94" t="s">
        <v>38</v>
      </c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</row>
    <row r="28" spans="1:29" x14ac:dyDescent="0.2">
      <c r="E28" s="25" t="s">
        <v>172</v>
      </c>
      <c r="F28" s="26"/>
      <c r="G28" s="26">
        <f>'Acquisition Assumptions'!H3</f>
        <v>45292</v>
      </c>
      <c r="H28" s="26">
        <f>'Acquisition Assumptions'!I3</f>
        <v>45658</v>
      </c>
      <c r="I28" s="26">
        <f>'Acquisition Assumptions'!J3</f>
        <v>46023</v>
      </c>
      <c r="J28" s="26">
        <f>'Acquisition Assumptions'!K3</f>
        <v>46388</v>
      </c>
      <c r="K28" s="26">
        <f>'Acquisition Assumptions'!L3</f>
        <v>46753</v>
      </c>
      <c r="L28" s="26">
        <f>'Acquisition Assumptions'!M3</f>
        <v>47119</v>
      </c>
      <c r="M28" s="78"/>
      <c r="N28" s="78"/>
      <c r="O28" s="29"/>
      <c r="P28" s="25" t="s">
        <v>172</v>
      </c>
      <c r="Q28" s="25"/>
      <c r="R28" s="25"/>
      <c r="S28" s="26">
        <f>H28</f>
        <v>45658</v>
      </c>
      <c r="T28" s="26">
        <f t="shared" ref="T28:W35" si="0">I28</f>
        <v>46023</v>
      </c>
      <c r="U28" s="26">
        <f t="shared" si="0"/>
        <v>46388</v>
      </c>
      <c r="V28" s="26">
        <f t="shared" si="0"/>
        <v>46753</v>
      </c>
      <c r="W28" s="26">
        <f t="shared" si="0"/>
        <v>47119</v>
      </c>
      <c r="X28" s="9"/>
      <c r="Y28" s="9"/>
      <c r="Z28" s="9"/>
      <c r="AA28" s="9"/>
      <c r="AB28" s="9"/>
    </row>
    <row r="29" spans="1:29" x14ac:dyDescent="0.2">
      <c r="E29" s="25" t="s">
        <v>173</v>
      </c>
      <c r="F29" s="26"/>
      <c r="G29" s="26">
        <f>'Acquisition Assumptions'!H4</f>
        <v>45657</v>
      </c>
      <c r="H29" s="26">
        <f>'Acquisition Assumptions'!I4</f>
        <v>46022</v>
      </c>
      <c r="I29" s="26">
        <f>'Acquisition Assumptions'!J4</f>
        <v>46387</v>
      </c>
      <c r="J29" s="26">
        <f>'Acquisition Assumptions'!K4</f>
        <v>46752</v>
      </c>
      <c r="K29" s="26">
        <f>'Acquisition Assumptions'!L4</f>
        <v>47118</v>
      </c>
      <c r="L29" s="26">
        <f>'Acquisition Assumptions'!M4</f>
        <v>47483</v>
      </c>
      <c r="M29" s="78"/>
      <c r="N29" s="78"/>
      <c r="O29" s="29"/>
      <c r="P29" s="25" t="s">
        <v>173</v>
      </c>
      <c r="Q29" s="25"/>
      <c r="R29" s="25"/>
      <c r="S29" s="26">
        <f t="shared" ref="S29:S35" si="1">H29</f>
        <v>46022</v>
      </c>
      <c r="T29" s="26">
        <f t="shared" si="0"/>
        <v>46387</v>
      </c>
      <c r="U29" s="26">
        <f t="shared" si="0"/>
        <v>46752</v>
      </c>
      <c r="V29" s="26">
        <f t="shared" si="0"/>
        <v>47118</v>
      </c>
      <c r="W29" s="26">
        <f t="shared" si="0"/>
        <v>47483</v>
      </c>
      <c r="X29" s="9"/>
      <c r="Y29" s="9"/>
      <c r="Z29" s="9"/>
      <c r="AA29" s="9"/>
      <c r="AB29" s="9"/>
    </row>
    <row r="30" spans="1:29" x14ac:dyDescent="0.2">
      <c r="E30" s="25" t="s">
        <v>174</v>
      </c>
      <c r="F30" s="27"/>
      <c r="G30" s="27">
        <f>'Acquisition Assumptions'!H5</f>
        <v>2024</v>
      </c>
      <c r="H30" s="27">
        <f>'Acquisition Assumptions'!I5</f>
        <v>2025</v>
      </c>
      <c r="I30" s="27">
        <f>'Acquisition Assumptions'!J5</f>
        <v>2026</v>
      </c>
      <c r="J30" s="27">
        <f>'Acquisition Assumptions'!K5</f>
        <v>2027</v>
      </c>
      <c r="K30" s="27">
        <f>'Acquisition Assumptions'!L5</f>
        <v>2028</v>
      </c>
      <c r="L30" s="27">
        <f>'Acquisition Assumptions'!M5</f>
        <v>2029</v>
      </c>
      <c r="M30" s="78"/>
      <c r="N30" s="78"/>
      <c r="O30" s="29"/>
      <c r="P30" s="25" t="s">
        <v>174</v>
      </c>
      <c r="Q30" s="25"/>
      <c r="R30" s="25"/>
      <c r="S30" s="27">
        <f t="shared" si="1"/>
        <v>2025</v>
      </c>
      <c r="T30" s="27">
        <f t="shared" si="0"/>
        <v>2026</v>
      </c>
      <c r="U30" s="27">
        <f t="shared" si="0"/>
        <v>2027</v>
      </c>
      <c r="V30" s="27">
        <f t="shared" si="0"/>
        <v>2028</v>
      </c>
      <c r="W30" s="27">
        <f t="shared" si="0"/>
        <v>2029</v>
      </c>
      <c r="X30" s="9"/>
      <c r="Y30" s="9"/>
      <c r="Z30" s="9"/>
      <c r="AA30" s="9"/>
      <c r="AB30" s="9"/>
    </row>
    <row r="31" spans="1:29" x14ac:dyDescent="0.2">
      <c r="E31" s="25" t="s">
        <v>175</v>
      </c>
      <c r="F31" s="27"/>
      <c r="G31" s="27">
        <f>'Acquisition Assumptions'!H6</f>
        <v>4</v>
      </c>
      <c r="H31" s="27">
        <f>'Acquisition Assumptions'!I6</f>
        <v>4</v>
      </c>
      <c r="I31" s="27">
        <f>'Acquisition Assumptions'!J6</f>
        <v>4</v>
      </c>
      <c r="J31" s="27">
        <f>'Acquisition Assumptions'!K6</f>
        <v>4</v>
      </c>
      <c r="K31" s="27">
        <f>'Acquisition Assumptions'!L6</f>
        <v>4</v>
      </c>
      <c r="L31" s="27">
        <f>'Acquisition Assumptions'!M6</f>
        <v>4</v>
      </c>
      <c r="M31" s="78"/>
      <c r="N31" s="78"/>
      <c r="O31" s="29"/>
      <c r="P31" s="25" t="s">
        <v>175</v>
      </c>
      <c r="Q31" s="25"/>
      <c r="R31" s="25"/>
      <c r="S31" s="27">
        <f t="shared" si="1"/>
        <v>4</v>
      </c>
      <c r="T31" s="27">
        <f t="shared" si="0"/>
        <v>4</v>
      </c>
      <c r="U31" s="27">
        <f t="shared" si="0"/>
        <v>4</v>
      </c>
      <c r="V31" s="27">
        <f t="shared" si="0"/>
        <v>4</v>
      </c>
      <c r="W31" s="27">
        <f t="shared" si="0"/>
        <v>4</v>
      </c>
      <c r="X31" s="9"/>
      <c r="Y31" s="9"/>
      <c r="Z31" s="9"/>
      <c r="AA31" s="9"/>
      <c r="AB31" s="9"/>
    </row>
    <row r="32" spans="1:29" x14ac:dyDescent="0.2">
      <c r="E32" s="25" t="s">
        <v>176</v>
      </c>
      <c r="F32" s="27"/>
      <c r="G32" s="27">
        <f>'Acquisition Assumptions'!H7</f>
        <v>12</v>
      </c>
      <c r="H32" s="27">
        <f>'Acquisition Assumptions'!I7</f>
        <v>12</v>
      </c>
      <c r="I32" s="27">
        <f>'Acquisition Assumptions'!J7</f>
        <v>12</v>
      </c>
      <c r="J32" s="27">
        <f>'Acquisition Assumptions'!K7</f>
        <v>12</v>
      </c>
      <c r="K32" s="27">
        <f>'Acquisition Assumptions'!L7</f>
        <v>12</v>
      </c>
      <c r="L32" s="27">
        <f>'Acquisition Assumptions'!M7</f>
        <v>12</v>
      </c>
      <c r="M32" s="78"/>
      <c r="N32" s="78"/>
      <c r="O32" s="29"/>
      <c r="P32" s="25" t="s">
        <v>176</v>
      </c>
      <c r="Q32" s="25"/>
      <c r="R32" s="25"/>
      <c r="S32" s="27">
        <f t="shared" si="1"/>
        <v>12</v>
      </c>
      <c r="T32" s="27">
        <f t="shared" si="0"/>
        <v>12</v>
      </c>
      <c r="U32" s="27">
        <f t="shared" si="0"/>
        <v>12</v>
      </c>
      <c r="V32" s="27">
        <f t="shared" si="0"/>
        <v>12</v>
      </c>
      <c r="W32" s="27">
        <f t="shared" si="0"/>
        <v>12</v>
      </c>
      <c r="X32" s="9"/>
      <c r="Y32" s="9"/>
      <c r="Z32" s="9"/>
      <c r="AA32" s="9"/>
      <c r="AB32" s="9"/>
    </row>
    <row r="33" spans="5:28" x14ac:dyDescent="0.2">
      <c r="E33" s="25" t="s">
        <v>177</v>
      </c>
      <c r="F33" s="27"/>
      <c r="G33" s="27">
        <f>'Acquisition Assumptions'!H8</f>
        <v>1</v>
      </c>
      <c r="H33" s="27">
        <f>'Acquisition Assumptions'!I8</f>
        <v>2</v>
      </c>
      <c r="I33" s="27">
        <f>'Acquisition Assumptions'!J8</f>
        <v>3</v>
      </c>
      <c r="J33" s="27">
        <f>'Acquisition Assumptions'!K8</f>
        <v>4</v>
      </c>
      <c r="K33" s="27">
        <f>'Acquisition Assumptions'!L8</f>
        <v>5</v>
      </c>
      <c r="L33" s="27">
        <f>'Acquisition Assumptions'!M8</f>
        <v>6</v>
      </c>
      <c r="M33" s="78"/>
      <c r="N33" s="78"/>
      <c r="O33" s="29"/>
      <c r="P33" s="25" t="s">
        <v>177</v>
      </c>
      <c r="Q33" s="25"/>
      <c r="R33" s="25"/>
      <c r="S33" s="27">
        <f t="shared" si="1"/>
        <v>2</v>
      </c>
      <c r="T33" s="27">
        <f t="shared" si="0"/>
        <v>3</v>
      </c>
      <c r="U33" s="27">
        <f t="shared" si="0"/>
        <v>4</v>
      </c>
      <c r="V33" s="27">
        <f t="shared" si="0"/>
        <v>5</v>
      </c>
      <c r="W33" s="27">
        <f t="shared" si="0"/>
        <v>6</v>
      </c>
      <c r="X33" s="9"/>
      <c r="Y33" s="9"/>
      <c r="Z33" s="9"/>
      <c r="AA33" s="9"/>
      <c r="AB33" s="9"/>
    </row>
    <row r="34" spans="5:28" x14ac:dyDescent="0.2">
      <c r="E34" s="25" t="s">
        <v>178</v>
      </c>
      <c r="F34" s="27"/>
      <c r="G34" s="27" t="str">
        <f>'Acquisition Assumptions'!H9</f>
        <v>Annual</v>
      </c>
      <c r="H34" s="27" t="str">
        <f>'Acquisition Assumptions'!I9</f>
        <v>Annual</v>
      </c>
      <c r="I34" s="27" t="str">
        <f>'Acquisition Assumptions'!J9</f>
        <v>Annual</v>
      </c>
      <c r="J34" s="27" t="str">
        <f>'Acquisition Assumptions'!K9</f>
        <v>Annual</v>
      </c>
      <c r="K34" s="27" t="str">
        <f>'Acquisition Assumptions'!L9</f>
        <v>Annual</v>
      </c>
      <c r="L34" s="27" t="str">
        <f>'Acquisition Assumptions'!M9</f>
        <v>Annual</v>
      </c>
      <c r="M34" s="78"/>
      <c r="N34" s="78"/>
      <c r="O34" s="29"/>
      <c r="P34" s="25" t="s">
        <v>178</v>
      </c>
      <c r="Q34" s="25"/>
      <c r="R34" s="25"/>
      <c r="S34" s="27" t="str">
        <f t="shared" si="1"/>
        <v>Annual</v>
      </c>
      <c r="T34" s="27" t="str">
        <f t="shared" si="0"/>
        <v>Annual</v>
      </c>
      <c r="U34" s="27" t="str">
        <f t="shared" si="0"/>
        <v>Annual</v>
      </c>
      <c r="V34" s="27" t="str">
        <f t="shared" si="0"/>
        <v>Annual</v>
      </c>
      <c r="W34" s="27" t="str">
        <f t="shared" si="0"/>
        <v>Annual</v>
      </c>
      <c r="X34" s="9"/>
      <c r="Y34" s="9"/>
      <c r="Z34" s="9"/>
      <c r="AA34" s="9"/>
      <c r="AB34" s="9"/>
    </row>
    <row r="35" spans="5:28" x14ac:dyDescent="0.2">
      <c r="E35" s="25" t="s">
        <v>179</v>
      </c>
      <c r="F35" s="28"/>
      <c r="G35" s="28" t="str">
        <f ca="1">'Acquisition Assumptions'!H10</f>
        <v>Actual</v>
      </c>
      <c r="H35" s="28" t="str">
        <f ca="1">'Acquisition Assumptions'!I10</f>
        <v>Actual</v>
      </c>
      <c r="I35" s="28" t="str">
        <f ca="1">'Acquisition Assumptions'!J10</f>
        <v>Forecast</v>
      </c>
      <c r="J35" s="28" t="str">
        <f ca="1">'Acquisition Assumptions'!K10</f>
        <v>Forecast</v>
      </c>
      <c r="K35" s="28" t="str">
        <f ca="1">'Acquisition Assumptions'!L10</f>
        <v>Forecast</v>
      </c>
      <c r="L35" s="28" t="str">
        <f ca="1">'Acquisition Assumptions'!M10</f>
        <v>Forecast</v>
      </c>
      <c r="M35" s="78"/>
      <c r="N35" s="78"/>
      <c r="O35" s="29"/>
      <c r="P35" s="25" t="s">
        <v>179</v>
      </c>
      <c r="Q35" s="25"/>
      <c r="R35" s="25"/>
      <c r="S35" s="28" t="str">
        <f t="shared" ca="1" si="1"/>
        <v>Actual</v>
      </c>
      <c r="T35" s="28" t="str">
        <f t="shared" ca="1" si="0"/>
        <v>Forecast</v>
      </c>
      <c r="U35" s="28" t="str">
        <f t="shared" ca="1" si="0"/>
        <v>Forecast</v>
      </c>
      <c r="V35" s="28" t="str">
        <f t="shared" ca="1" si="0"/>
        <v>Forecast</v>
      </c>
      <c r="W35" s="28" t="str">
        <f t="shared" ca="1" si="0"/>
        <v>Forecast</v>
      </c>
      <c r="X35" s="9"/>
      <c r="Y35" s="9"/>
      <c r="Z35" s="9"/>
      <c r="AA35" s="9"/>
      <c r="AB35" s="9"/>
    </row>
    <row r="36" spans="5:28" x14ac:dyDescent="0.2">
      <c r="E36" s="29"/>
      <c r="F36" s="29"/>
      <c r="G36" s="78"/>
      <c r="H36" s="78"/>
      <c r="I36" s="78"/>
      <c r="J36" s="78"/>
      <c r="K36" s="78"/>
      <c r="L36" s="78"/>
      <c r="M36" s="78"/>
      <c r="N36" s="29"/>
      <c r="O36" s="29"/>
      <c r="P36" s="29"/>
      <c r="Q36" s="29"/>
      <c r="R36" s="78"/>
      <c r="S36" s="29"/>
      <c r="T36" s="29"/>
      <c r="U36" s="29"/>
      <c r="V36" s="29"/>
      <c r="W36" s="29"/>
    </row>
    <row r="37" spans="5:28" x14ac:dyDescent="0.2">
      <c r="E37" s="42" t="s">
        <v>39</v>
      </c>
      <c r="F37" s="29"/>
      <c r="G37" s="89">
        <f>'Acquisition Assumptions'!H15</f>
        <v>26.460159999999998</v>
      </c>
      <c r="H37" s="89">
        <f>'Acquisition Assumptions'!I15</f>
        <v>33.058458399999992</v>
      </c>
      <c r="I37" s="89">
        <f>'Acquisition Assumptions'!J15</f>
        <v>41.341634415999998</v>
      </c>
      <c r="J37" s="89">
        <f>'Acquisition Assumptions'!K15</f>
        <v>51.749830075839995</v>
      </c>
      <c r="K37" s="89">
        <f>'Acquisition Assumptions'!L15</f>
        <v>64.840630034041581</v>
      </c>
      <c r="L37" s="89">
        <f>'Acquisition Assumptions'!M15</f>
        <v>81.321005788211579</v>
      </c>
      <c r="M37" s="79"/>
      <c r="N37" s="79"/>
      <c r="O37" s="29"/>
      <c r="P37" s="29" t="s">
        <v>40</v>
      </c>
      <c r="Q37" s="29"/>
      <c r="R37" s="29"/>
      <c r="S37" s="38">
        <f ca="1">H61</f>
        <v>4.8561780984000009</v>
      </c>
      <c r="T37" s="38">
        <f ca="1">I61</f>
        <v>7.9112242409536009</v>
      </c>
      <c r="U37" s="38">
        <f ca="1">J61</f>
        <v>12.820323419435836</v>
      </c>
      <c r="V37" s="38">
        <f t="shared" ref="V37:W37" ca="1" si="2">K61</f>
        <v>17.101810164880348</v>
      </c>
      <c r="W37" s="38">
        <f t="shared" ca="1" si="2"/>
        <v>21.329616816820572</v>
      </c>
    </row>
    <row r="38" spans="5:28" x14ac:dyDescent="0.2">
      <c r="E38" s="42" t="s">
        <v>41</v>
      </c>
      <c r="F38" s="29"/>
      <c r="G38" s="89">
        <f>'Acquisition Assumptions'!H19</f>
        <v>7.9380479999999993</v>
      </c>
      <c r="H38" s="89">
        <f>'Acquisition Assumptions'!I19</f>
        <v>9.917537519999998</v>
      </c>
      <c r="I38" s="89">
        <f>'Acquisition Assumptions'!J19</f>
        <v>12.402490324799999</v>
      </c>
      <c r="J38" s="89">
        <f>'Acquisition Assumptions'!K19</f>
        <v>15.524949022751997</v>
      </c>
      <c r="K38" s="89">
        <f>'Acquisition Assumptions'!L19</f>
        <v>19.452189010212475</v>
      </c>
      <c r="L38" s="89">
        <f>'Acquisition Assumptions'!M19</f>
        <v>24.396301736463474</v>
      </c>
      <c r="M38" s="79"/>
      <c r="N38" s="79"/>
      <c r="O38" s="29"/>
      <c r="P38" s="29"/>
      <c r="Q38" s="29"/>
      <c r="R38" s="29"/>
      <c r="S38" s="38"/>
      <c r="T38" s="38"/>
      <c r="U38" s="38"/>
      <c r="V38" s="38"/>
      <c r="W38" s="38"/>
    </row>
    <row r="39" spans="5:28" x14ac:dyDescent="0.2">
      <c r="E39" s="29" t="s">
        <v>42</v>
      </c>
      <c r="F39" s="29"/>
      <c r="G39" s="89">
        <f>'Acquisition Assumptions'!H23</f>
        <v>-0.66150399999999998</v>
      </c>
      <c r="H39" s="89">
        <f>'Acquisition Assumptions'!I23</f>
        <v>-0.82646145999999987</v>
      </c>
      <c r="I39" s="89">
        <f>'Acquisition Assumptions'!J23</f>
        <v>-1.0335408604</v>
      </c>
      <c r="J39" s="89">
        <f>'Acquisition Assumptions'!K23</f>
        <v>-1.2937457518960001</v>
      </c>
      <c r="K39" s="89">
        <f>'Acquisition Assumptions'!L23</f>
        <v>-1.6210157508510397</v>
      </c>
      <c r="L39" s="89">
        <f>'Acquisition Assumptions'!M23</f>
        <v>-2.0330251447052894</v>
      </c>
      <c r="M39" s="81"/>
      <c r="N39" s="81"/>
      <c r="O39" s="29"/>
      <c r="P39" s="29"/>
      <c r="Q39" s="29"/>
      <c r="R39" s="29"/>
      <c r="S39" s="38"/>
      <c r="T39" s="38"/>
      <c r="U39" s="38"/>
      <c r="V39" s="38"/>
      <c r="W39" s="38"/>
    </row>
    <row r="40" spans="5:28" x14ac:dyDescent="0.2">
      <c r="E40" s="42" t="s">
        <v>43</v>
      </c>
      <c r="F40" s="29"/>
      <c r="G40" s="89">
        <f>G38+G39</f>
        <v>7.2765439999999995</v>
      </c>
      <c r="H40" s="89">
        <f>H38+H39</f>
        <v>9.0910760599999989</v>
      </c>
      <c r="I40" s="89">
        <f>I38+I39</f>
        <v>11.368949464399998</v>
      </c>
      <c r="J40" s="89">
        <f>J38+J39</f>
        <v>14.231203270855996</v>
      </c>
      <c r="K40" s="89">
        <f t="shared" ref="K40:L40" si="3">K38+K39</f>
        <v>17.831173259361435</v>
      </c>
      <c r="L40" s="89">
        <f t="shared" si="3"/>
        <v>22.363276591758186</v>
      </c>
      <c r="M40" s="79"/>
      <c r="N40" s="79"/>
      <c r="O40" s="29"/>
      <c r="P40" s="42" t="str">
        <f>O15</f>
        <v>Senior Debt - A</v>
      </c>
      <c r="Q40" s="29"/>
      <c r="R40" s="29"/>
      <c r="S40" s="38"/>
      <c r="T40" s="38"/>
      <c r="U40" s="38"/>
      <c r="V40" s="38"/>
      <c r="W40" s="38"/>
    </row>
    <row r="41" spans="5:28" x14ac:dyDescent="0.2">
      <c r="E41" s="29"/>
      <c r="F41" s="29"/>
      <c r="G41" s="31"/>
      <c r="H41" s="31"/>
      <c r="I41" s="31"/>
      <c r="J41" s="31"/>
      <c r="K41" s="31"/>
      <c r="L41" s="31"/>
      <c r="M41" s="29"/>
      <c r="N41" s="29"/>
      <c r="O41" s="29"/>
      <c r="P41" s="29" t="s">
        <v>44</v>
      </c>
      <c r="Q41" s="29"/>
      <c r="R41" s="29"/>
      <c r="S41" s="38">
        <f>H15</f>
        <v>49.587687599999988</v>
      </c>
      <c r="T41" s="38">
        <f ca="1">S45</f>
        <v>49.587687599999988</v>
      </c>
      <c r="U41" s="38">
        <f ca="1">T45</f>
        <v>49.587687599999988</v>
      </c>
      <c r="V41" s="38">
        <f t="shared" ref="V41:W41" ca="1" si="4">U45</f>
        <v>49.587687599999988</v>
      </c>
      <c r="W41" s="38">
        <f t="shared" ca="1" si="4"/>
        <v>49.587687599999988</v>
      </c>
    </row>
    <row r="42" spans="5:28" x14ac:dyDescent="0.2">
      <c r="E42" s="29" t="s">
        <v>45</v>
      </c>
      <c r="F42" s="29"/>
      <c r="G42" s="90"/>
      <c r="H42" s="38">
        <f ca="1">-S48</f>
        <v>-4.958768759999999</v>
      </c>
      <c r="I42" s="38">
        <f ca="1">-T48</f>
        <v>-4.958768759999999</v>
      </c>
      <c r="J42" s="38">
        <f ca="1">-U48</f>
        <v>-4.958768759999999</v>
      </c>
      <c r="K42" s="38">
        <f t="shared" ref="K42:L42" ca="1" si="5">-V48</f>
        <v>-4.958768759999999</v>
      </c>
      <c r="L42" s="38">
        <f t="shared" ca="1" si="5"/>
        <v>-4.958768759999999</v>
      </c>
      <c r="M42" s="83"/>
      <c r="N42" s="83"/>
      <c r="O42" s="29"/>
      <c r="P42" s="29" t="s">
        <v>46</v>
      </c>
      <c r="Q42" s="29"/>
      <c r="R42" s="29"/>
      <c r="S42" s="92">
        <v>0</v>
      </c>
      <c r="T42" s="92">
        <v>0</v>
      </c>
      <c r="U42" s="92">
        <v>0</v>
      </c>
      <c r="V42" s="92">
        <v>0</v>
      </c>
      <c r="W42" s="92">
        <v>0</v>
      </c>
    </row>
    <row r="43" spans="5:28" x14ac:dyDescent="0.2">
      <c r="E43" s="29" t="s">
        <v>50</v>
      </c>
      <c r="F43" s="29"/>
      <c r="G43" s="31"/>
      <c r="H43" s="38">
        <f>-S53</f>
        <v>0</v>
      </c>
      <c r="I43" s="38">
        <f>-T53</f>
        <v>0</v>
      </c>
      <c r="J43" s="38">
        <f>-U53</f>
        <v>0</v>
      </c>
      <c r="K43" s="38">
        <f t="shared" ref="K43:L43" si="6">-V53</f>
        <v>0</v>
      </c>
      <c r="L43" s="38">
        <f t="shared" si="6"/>
        <v>0</v>
      </c>
      <c r="M43" s="83"/>
      <c r="N43" s="83"/>
      <c r="O43" s="29"/>
      <c r="P43" s="29" t="s">
        <v>47</v>
      </c>
      <c r="Q43" s="29"/>
      <c r="R43" s="29"/>
      <c r="S43" s="38">
        <f ca="1">IF(S37&lt;=0,0,-MIN(S42*S41,S37))</f>
        <v>0</v>
      </c>
      <c r="T43" s="38">
        <f ca="1">IF(T37&lt;=0,0,-MIN(T42*T41,T37))</f>
        <v>0</v>
      </c>
      <c r="U43" s="38">
        <f ca="1">IF(U37&lt;=0,0,-MIN(U42*U41,U37))</f>
        <v>0</v>
      </c>
      <c r="V43" s="38">
        <f ca="1">IF(V37&lt;=0,0,-MIN(V42*V41,V37))</f>
        <v>0</v>
      </c>
      <c r="W43" s="38">
        <f ca="1">IF(W37&lt;=0,0,-MIN(W42*W41,W37))</f>
        <v>0</v>
      </c>
    </row>
    <row r="44" spans="5:28" x14ac:dyDescent="0.2">
      <c r="E44" s="29" t="s">
        <v>52</v>
      </c>
      <c r="F44" s="29"/>
      <c r="G44" s="31"/>
      <c r="H44" s="38">
        <f>-S60</f>
        <v>-5.7918419116799988</v>
      </c>
      <c r="I44" s="38">
        <f>-T60</f>
        <v>-6.3710261028479991</v>
      </c>
      <c r="J44" s="38">
        <f>-U60</f>
        <v>-7.0081287131328001</v>
      </c>
      <c r="K44" s="38">
        <f t="shared" ref="K44:L44" si="7">-V60</f>
        <v>-7.7089415844460802</v>
      </c>
      <c r="L44" s="38">
        <f t="shared" si="7"/>
        <v>-8.479835742890689</v>
      </c>
      <c r="M44" s="83"/>
      <c r="N44" s="83"/>
      <c r="O44" s="29"/>
      <c r="P44" s="29" t="s">
        <v>48</v>
      </c>
      <c r="Q44" s="29"/>
      <c r="R44" s="29"/>
      <c r="S44" s="38">
        <v>0</v>
      </c>
      <c r="T44" s="38">
        <v>0</v>
      </c>
      <c r="U44" s="38">
        <v>0</v>
      </c>
      <c r="V44" s="38">
        <v>0</v>
      </c>
      <c r="W44" s="38">
        <v>0</v>
      </c>
    </row>
    <row r="45" spans="5:28" x14ac:dyDescent="0.2">
      <c r="E45" s="42" t="s">
        <v>53</v>
      </c>
      <c r="F45" s="29"/>
      <c r="G45" s="31"/>
      <c r="H45" s="38">
        <f ca="1">SUM(H42:H44)</f>
        <v>-10.750610671679997</v>
      </c>
      <c r="I45" s="38">
        <f ca="1">SUM(I42:I44)</f>
        <v>-11.329794862847997</v>
      </c>
      <c r="J45" s="38">
        <f ca="1">SUM(J42:J44)</f>
        <v>-11.9668974731328</v>
      </c>
      <c r="K45" s="38">
        <f t="shared" ref="K45:L45" ca="1" si="8">SUM(K42:K44)</f>
        <v>-12.667710344446078</v>
      </c>
      <c r="L45" s="38">
        <f t="shared" ca="1" si="8"/>
        <v>-13.438604502890687</v>
      </c>
      <c r="M45" s="83"/>
      <c r="N45" s="83"/>
      <c r="O45" s="29"/>
      <c r="P45" s="29" t="s">
        <v>49</v>
      </c>
      <c r="Q45" s="29"/>
      <c r="R45" s="29"/>
      <c r="S45" s="38">
        <f ca="1">S44+S43+S41</f>
        <v>49.587687599999988</v>
      </c>
      <c r="T45" s="38">
        <f ca="1">T44+T43+T41</f>
        <v>49.587687599999988</v>
      </c>
      <c r="U45" s="38">
        <f ca="1">U44+U43+U41</f>
        <v>49.587687599999988</v>
      </c>
      <c r="V45" s="38">
        <f t="shared" ref="V45:W45" ca="1" si="9">V44+V43+V41</f>
        <v>49.587687599999988</v>
      </c>
      <c r="W45" s="38">
        <f t="shared" ca="1" si="9"/>
        <v>49.587687599999988</v>
      </c>
    </row>
    <row r="46" spans="5:28" x14ac:dyDescent="0.2">
      <c r="E46" s="29"/>
      <c r="F46" s="29"/>
      <c r="G46" s="31"/>
      <c r="H46" s="38"/>
      <c r="I46" s="38"/>
      <c r="J46" s="38"/>
      <c r="K46" s="38"/>
      <c r="L46" s="38"/>
      <c r="M46" s="83"/>
      <c r="N46" s="83"/>
      <c r="O46" s="29"/>
      <c r="P46" s="29" t="s">
        <v>51</v>
      </c>
      <c r="Q46" s="29"/>
      <c r="R46" s="29"/>
      <c r="S46" s="38">
        <f ca="1">S37+S43+S44</f>
        <v>4.8561780984000009</v>
      </c>
      <c r="T46" s="38">
        <f ca="1">T37+T43+T44</f>
        <v>7.9112242409536009</v>
      </c>
      <c r="U46" s="38">
        <f ca="1">U37+U43+U44</f>
        <v>12.820323419435836</v>
      </c>
      <c r="V46" s="38">
        <f ca="1">V37+V43+V44</f>
        <v>17.101810164880348</v>
      </c>
      <c r="W46" s="38">
        <f ca="1">W37+W43+W44</f>
        <v>21.329616816820572</v>
      </c>
    </row>
    <row r="47" spans="5:28" x14ac:dyDescent="0.2">
      <c r="E47" s="29" t="s">
        <v>56</v>
      </c>
      <c r="F47" s="29"/>
      <c r="G47" s="90"/>
      <c r="H47" s="38">
        <f ca="1">H45+H40</f>
        <v>-1.6595346116799981</v>
      </c>
      <c r="I47" s="38">
        <f ca="1">I45+I40</f>
        <v>3.9154601552001012E-2</v>
      </c>
      <c r="J47" s="38">
        <f ca="1">J45+J40</f>
        <v>2.2643057977231962</v>
      </c>
      <c r="K47" s="38">
        <f t="shared" ref="K47:L47" ca="1" si="10">K45+K40</f>
        <v>5.1634629149153568</v>
      </c>
      <c r="L47" s="38">
        <f t="shared" ca="1" si="10"/>
        <v>8.9246720888674993</v>
      </c>
      <c r="M47" s="83"/>
      <c r="N47" s="83"/>
      <c r="O47" s="29"/>
      <c r="P47" s="29"/>
      <c r="Q47" s="29"/>
      <c r="R47" s="29"/>
      <c r="S47" s="38"/>
      <c r="T47" s="38"/>
      <c r="U47" s="38"/>
      <c r="V47" s="38"/>
      <c r="W47" s="38"/>
    </row>
    <row r="48" spans="5:28" x14ac:dyDescent="0.2">
      <c r="E48" s="29"/>
      <c r="F48" s="29"/>
      <c r="G48" s="31"/>
      <c r="H48" s="38"/>
      <c r="I48" s="38"/>
      <c r="J48" s="38"/>
      <c r="K48" s="38"/>
      <c r="L48" s="38"/>
      <c r="M48" s="83"/>
      <c r="N48" s="83"/>
      <c r="O48" s="29"/>
      <c r="P48" s="29" t="s">
        <v>54</v>
      </c>
      <c r="Q48" s="84">
        <f>T15</f>
        <v>0.1</v>
      </c>
      <c r="R48" s="29"/>
      <c r="S48" s="38">
        <f ca="1">AVERAGE(S45,S41)*$Q$48</f>
        <v>4.958768759999999</v>
      </c>
      <c r="T48" s="38">
        <f ca="1">AVERAGE(T45,T41)*$Q$48</f>
        <v>4.958768759999999</v>
      </c>
      <c r="U48" s="38">
        <f ca="1">AVERAGE(U45,U41)*$Q$48</f>
        <v>4.958768759999999</v>
      </c>
      <c r="V48" s="38">
        <f t="shared" ref="V48:W48" ca="1" si="11">AVERAGE(V45,V41)*$Q$48</f>
        <v>4.958768759999999</v>
      </c>
      <c r="W48" s="38">
        <f t="shared" ca="1" si="11"/>
        <v>4.958768759999999</v>
      </c>
    </row>
    <row r="49" spans="5:23" x14ac:dyDescent="0.2">
      <c r="E49" s="29" t="s">
        <v>57</v>
      </c>
      <c r="F49" s="92">
        <v>0.2</v>
      </c>
      <c r="G49" s="90"/>
      <c r="H49" s="38">
        <f ca="1">IF(H47&gt;0,H47*-$F$49,0)</f>
        <v>0</v>
      </c>
      <c r="I49" s="38">
        <f ca="1">IF(I47&gt;0,I47*-$F$49,0)</f>
        <v>-7.830920310400202E-3</v>
      </c>
      <c r="J49" s="38">
        <f ca="1">IF(J47&gt;0,J47*-$F$49,0)</f>
        <v>-0.45286115954463924</v>
      </c>
      <c r="K49" s="38">
        <f t="shared" ref="K49:L49" ca="1" si="12">IF(K47&gt;0,K47*-$F$49,0)</f>
        <v>-1.0326925829830713</v>
      </c>
      <c r="L49" s="38">
        <f t="shared" ca="1" si="12"/>
        <v>-1.7849344177735</v>
      </c>
      <c r="M49" s="29"/>
      <c r="N49" s="29"/>
      <c r="O49" s="29"/>
      <c r="P49" s="29" t="s">
        <v>55</v>
      </c>
      <c r="Q49" s="84"/>
      <c r="R49" s="29"/>
      <c r="S49" s="38"/>
      <c r="T49" s="38"/>
      <c r="U49" s="38"/>
      <c r="V49" s="38"/>
      <c r="W49" s="38"/>
    </row>
    <row r="50" spans="5:23" x14ac:dyDescent="0.2">
      <c r="E50" s="29"/>
      <c r="F50" s="29"/>
      <c r="G50" s="31"/>
      <c r="H50" s="38"/>
      <c r="I50" s="38"/>
      <c r="J50" s="38"/>
      <c r="K50" s="38"/>
      <c r="L50" s="38"/>
      <c r="M50" s="82"/>
      <c r="N50" s="82"/>
      <c r="O50" s="29"/>
      <c r="P50" s="29"/>
      <c r="Q50" s="84"/>
      <c r="R50" s="29"/>
      <c r="S50" s="38"/>
      <c r="T50" s="38"/>
      <c r="U50" s="38"/>
      <c r="V50" s="38"/>
      <c r="W50" s="38"/>
    </row>
    <row r="51" spans="5:23" x14ac:dyDescent="0.2">
      <c r="E51" s="42" t="s">
        <v>58</v>
      </c>
      <c r="F51" s="42"/>
      <c r="G51" s="90"/>
      <c r="H51" s="38">
        <f ca="1">H47+H49</f>
        <v>-1.6595346116799981</v>
      </c>
      <c r="I51" s="38">
        <f ca="1">I47+I49</f>
        <v>3.1323681241600808E-2</v>
      </c>
      <c r="J51" s="38">
        <f ca="1">J47+J49</f>
        <v>1.8114446381785569</v>
      </c>
      <c r="K51" s="38">
        <f t="shared" ref="K51:L51" ca="1" si="13">K47+K49</f>
        <v>4.1307703319322853</v>
      </c>
      <c r="L51" s="38">
        <f t="shared" ca="1" si="13"/>
        <v>7.1397376710939993</v>
      </c>
      <c r="M51" s="83"/>
      <c r="N51" s="83"/>
      <c r="O51" s="29"/>
      <c r="P51" s="23" t="s">
        <v>28</v>
      </c>
      <c r="Q51" s="84"/>
      <c r="R51" s="29"/>
      <c r="S51" s="38"/>
      <c r="T51" s="38"/>
      <c r="U51" s="38"/>
      <c r="V51" s="38"/>
      <c r="W51" s="38"/>
    </row>
    <row r="52" spans="5:23" x14ac:dyDescent="0.2">
      <c r="E52" s="29"/>
      <c r="F52" s="29"/>
      <c r="G52" s="31"/>
      <c r="H52" s="38"/>
      <c r="I52" s="38"/>
      <c r="J52" s="38"/>
      <c r="K52" s="38"/>
      <c r="L52" s="38"/>
      <c r="M52" s="82"/>
      <c r="N52" s="82"/>
      <c r="O52" s="29"/>
      <c r="P52" s="85" t="s">
        <v>44</v>
      </c>
      <c r="Q52" s="84"/>
      <c r="R52" s="29"/>
      <c r="S52" s="38">
        <f>H18</f>
        <v>0</v>
      </c>
      <c r="T52" s="38">
        <f>S55</f>
        <v>0</v>
      </c>
      <c r="U52" s="38">
        <f>T55</f>
        <v>0</v>
      </c>
      <c r="V52" s="38">
        <f t="shared" ref="V52:W52" si="14">U55</f>
        <v>0</v>
      </c>
      <c r="W52" s="38">
        <f t="shared" si="14"/>
        <v>0</v>
      </c>
    </row>
    <row r="53" spans="5:23" x14ac:dyDescent="0.2">
      <c r="E53" s="29" t="s">
        <v>59</v>
      </c>
      <c r="F53" s="29"/>
      <c r="G53" s="90"/>
      <c r="H53" s="38">
        <f>-H39</f>
        <v>0.82646145999999987</v>
      </c>
      <c r="I53" s="38">
        <f>-I39</f>
        <v>1.0335408604</v>
      </c>
      <c r="J53" s="38">
        <f>-J39</f>
        <v>1.2937457518960001</v>
      </c>
      <c r="K53" s="38">
        <f t="shared" ref="K53:L53" si="15">-K39</f>
        <v>1.6210157508510397</v>
      </c>
      <c r="L53" s="38">
        <f t="shared" si="15"/>
        <v>2.0330251447052894</v>
      </c>
      <c r="M53" s="83"/>
      <c r="N53" s="83"/>
      <c r="O53" s="29"/>
      <c r="P53" s="3" t="s">
        <v>65</v>
      </c>
      <c r="Q53" s="84">
        <f>R16</f>
        <v>0</v>
      </c>
      <c r="R53" s="29"/>
      <c r="S53" s="38">
        <f>$Q$53*S52</f>
        <v>0</v>
      </c>
      <c r="T53" s="38">
        <f>$Q$53*T52</f>
        <v>0</v>
      </c>
      <c r="U53" s="38">
        <f>$Q$53*U52</f>
        <v>0</v>
      </c>
      <c r="V53" s="38">
        <f t="shared" ref="V53:W53" si="16">$Q$53*V52</f>
        <v>0</v>
      </c>
      <c r="W53" s="38">
        <f t="shared" si="16"/>
        <v>0</v>
      </c>
    </row>
    <row r="54" spans="5:23" x14ac:dyDescent="0.2">
      <c r="E54" s="29" t="s">
        <v>60</v>
      </c>
      <c r="F54" s="29"/>
      <c r="G54" s="90"/>
      <c r="H54" s="89">
        <f>'Acquisition Assumptions'!I27</f>
        <v>-2.3471505463999991</v>
      </c>
      <c r="I54" s="89">
        <f>'Acquisition Assumptions'!J27</f>
        <v>-1.901715183136</v>
      </c>
      <c r="J54" s="89">
        <f>'Acquisition Assumptions'!K27</f>
        <v>-1.0867464315926401</v>
      </c>
      <c r="K54" s="89">
        <f>'Acquisition Assumptions'!L27</f>
        <v>-1.102290710578707</v>
      </c>
      <c r="L54" s="89">
        <f>'Acquisition Assumptions'!M27</f>
        <v>-1.382457098399597</v>
      </c>
      <c r="M54" s="86"/>
      <c r="N54" s="86"/>
      <c r="O54" s="29"/>
      <c r="P54" s="3" t="s">
        <v>66</v>
      </c>
      <c r="Q54" s="84"/>
      <c r="R54" s="29"/>
      <c r="S54" s="93">
        <v>0</v>
      </c>
      <c r="T54" s="93">
        <v>0</v>
      </c>
      <c r="U54" s="93">
        <v>0</v>
      </c>
      <c r="V54" s="93">
        <v>0</v>
      </c>
      <c r="W54" s="93">
        <v>0</v>
      </c>
    </row>
    <row r="55" spans="5:23" x14ac:dyDescent="0.2">
      <c r="E55" s="29" t="s">
        <v>170</v>
      </c>
      <c r="F55" s="29"/>
      <c r="G55" s="31"/>
      <c r="H55" s="89">
        <f>IF($G$11=1,'Acquisition Assumptions'!I35,0)</f>
        <v>0</v>
      </c>
      <c r="I55" s="89">
        <f>IF($G$11=1,'Acquisition Assumptions'!J35,0)</f>
        <v>0</v>
      </c>
      <c r="J55" s="89">
        <f>IF($G$11=1,'Acquisition Assumptions'!K35,0)</f>
        <v>0</v>
      </c>
      <c r="K55" s="89">
        <f>IF($G$11=1,'Acquisition Assumptions'!L35,0)</f>
        <v>0</v>
      </c>
      <c r="L55" s="89">
        <f>IF($G$11=1,'Acquisition Assumptions'!M35,0)</f>
        <v>0</v>
      </c>
      <c r="M55" s="29"/>
      <c r="N55" s="29"/>
      <c r="O55" s="29"/>
      <c r="P55" s="85" t="s">
        <v>64</v>
      </c>
      <c r="Q55" s="84"/>
      <c r="R55" s="29"/>
      <c r="S55" s="38">
        <f>SUM(S52:S54)</f>
        <v>0</v>
      </c>
      <c r="T55" s="38">
        <f>SUM(T52:T54)</f>
        <v>0</v>
      </c>
      <c r="U55" s="38">
        <f>SUM(U52:U54)</f>
        <v>0</v>
      </c>
      <c r="V55" s="38">
        <f t="shared" ref="V55:W55" si="17">SUM(V52:V54)</f>
        <v>0</v>
      </c>
      <c r="W55" s="38">
        <f t="shared" si="17"/>
        <v>0</v>
      </c>
    </row>
    <row r="56" spans="5:23" x14ac:dyDescent="0.2">
      <c r="E56" s="29" t="s">
        <v>61</v>
      </c>
      <c r="F56" s="29"/>
      <c r="G56" s="90"/>
      <c r="H56" s="89">
        <f>'Acquisition Assumptions'!I31</f>
        <v>2.2445598847999992</v>
      </c>
      <c r="I56" s="89">
        <f>'Acquisition Assumptions'!J31</f>
        <v>2.3770487796000008</v>
      </c>
      <c r="J56" s="89">
        <f>'Acquisition Assumptions'!K31</f>
        <v>3.7937507478211181</v>
      </c>
      <c r="K56" s="89">
        <f>'Acquisition Assumptions'!L31</f>
        <v>4.7433732082296487</v>
      </c>
      <c r="L56" s="89">
        <f>'Acquisition Assumptions'!M31</f>
        <v>5.0594753565301893</v>
      </c>
      <c r="M56" s="82"/>
      <c r="N56" s="82"/>
      <c r="O56" s="29"/>
      <c r="P56" s="3" t="s">
        <v>67</v>
      </c>
      <c r="Q56" s="84"/>
      <c r="R56" s="29"/>
      <c r="S56" s="38"/>
      <c r="T56" s="38"/>
      <c r="U56" s="38"/>
      <c r="V56" s="38"/>
      <c r="W56" s="38"/>
    </row>
    <row r="57" spans="5:23" x14ac:dyDescent="0.2">
      <c r="E57" s="29" t="s">
        <v>62</v>
      </c>
      <c r="F57" s="29"/>
      <c r="G57" s="90"/>
      <c r="H57" s="38">
        <f t="shared" ref="H57:J58" si="18">-H43</f>
        <v>0</v>
      </c>
      <c r="I57" s="38">
        <f t="shared" si="18"/>
        <v>0</v>
      </c>
      <c r="J57" s="38">
        <f t="shared" si="18"/>
        <v>0</v>
      </c>
      <c r="K57" s="38">
        <f t="shared" ref="K57:L57" si="19">-K43</f>
        <v>0</v>
      </c>
      <c r="L57" s="38">
        <f t="shared" si="19"/>
        <v>0</v>
      </c>
      <c r="M57" s="82"/>
      <c r="N57" s="82"/>
      <c r="O57" s="29"/>
      <c r="P57" s="3"/>
      <c r="Q57" s="84"/>
      <c r="R57" s="29"/>
      <c r="S57" s="38"/>
      <c r="T57" s="38"/>
      <c r="U57" s="38"/>
      <c r="V57" s="38"/>
      <c r="W57" s="38"/>
    </row>
    <row r="58" spans="5:23" x14ac:dyDescent="0.2">
      <c r="E58" s="29" t="s">
        <v>63</v>
      </c>
      <c r="F58" s="29"/>
      <c r="G58" s="90"/>
      <c r="H58" s="38">
        <f t="shared" si="18"/>
        <v>5.7918419116799988</v>
      </c>
      <c r="I58" s="38">
        <f t="shared" si="18"/>
        <v>6.3710261028479991</v>
      </c>
      <c r="J58" s="38">
        <f t="shared" si="18"/>
        <v>7.0081287131328001</v>
      </c>
      <c r="K58" s="38">
        <f t="shared" ref="K58:L58" si="20">-K44</f>
        <v>7.7089415844460802</v>
      </c>
      <c r="L58" s="38">
        <f t="shared" si="20"/>
        <v>8.479835742890689</v>
      </c>
      <c r="M58" s="82"/>
      <c r="N58" s="82"/>
      <c r="O58" s="29"/>
      <c r="P58" s="23" t="s">
        <v>68</v>
      </c>
      <c r="Q58" s="84"/>
      <c r="R58" s="29"/>
      <c r="S58" s="38"/>
      <c r="T58" s="38"/>
      <c r="U58" s="38"/>
      <c r="V58" s="38"/>
      <c r="W58" s="38"/>
    </row>
    <row r="59" spans="5:23" x14ac:dyDescent="0.2">
      <c r="E59" s="29"/>
      <c r="F59" s="29"/>
      <c r="G59" s="31"/>
      <c r="H59" s="31"/>
      <c r="I59" s="31"/>
      <c r="J59" s="31"/>
      <c r="K59" s="31"/>
      <c r="L59" s="31"/>
      <c r="M59" s="82"/>
      <c r="N59" s="82"/>
      <c r="O59" s="29"/>
      <c r="P59" s="85" t="s">
        <v>44</v>
      </c>
      <c r="Q59" s="84"/>
      <c r="R59" s="29"/>
      <c r="S59" s="38">
        <f>H19</f>
        <v>57.918419116799988</v>
      </c>
      <c r="T59" s="38">
        <f>S62</f>
        <v>63.710261028479991</v>
      </c>
      <c r="U59" s="38">
        <f>T62</f>
        <v>70.081287131327997</v>
      </c>
      <c r="V59" s="38">
        <f t="shared" ref="V59:W59" si="21">U62</f>
        <v>77.089415844460802</v>
      </c>
      <c r="W59" s="38">
        <f t="shared" si="21"/>
        <v>84.798357428906883</v>
      </c>
    </row>
    <row r="60" spans="5:23" x14ac:dyDescent="0.2">
      <c r="E60" s="42" t="s">
        <v>171</v>
      </c>
      <c r="F60" s="29"/>
      <c r="G60" s="31"/>
      <c r="H60" s="38">
        <f ca="1">H38+H56+H54+H55+H49</f>
        <v>9.814946858399999</v>
      </c>
      <c r="I60" s="38">
        <f ca="1">I38+I56+I54+I55+I49</f>
        <v>12.869993000953599</v>
      </c>
      <c r="J60" s="38">
        <f ca="1">J38+J56+J54+J55+J49</f>
        <v>17.779092179435835</v>
      </c>
      <c r="K60" s="38">
        <f t="shared" ref="K60:L60" ca="1" si="22">K38+K56+K54+K55+K49</f>
        <v>22.060578924880346</v>
      </c>
      <c r="L60" s="38">
        <f t="shared" ca="1" si="22"/>
        <v>26.288385576820566</v>
      </c>
      <c r="M60" s="82"/>
      <c r="N60" s="82"/>
      <c r="O60" s="29"/>
      <c r="P60" s="3" t="s">
        <v>65</v>
      </c>
      <c r="Q60" s="84">
        <f>R17</f>
        <v>0.1</v>
      </c>
      <c r="R60" s="29"/>
      <c r="S60" s="38">
        <f>$Q$60*S59</f>
        <v>5.7918419116799988</v>
      </c>
      <c r="T60" s="38">
        <f>$Q$60*T59</f>
        <v>6.3710261028479991</v>
      </c>
      <c r="U60" s="38">
        <f>$Q$60*U59</f>
        <v>7.0081287131328001</v>
      </c>
      <c r="V60" s="38">
        <f t="shared" ref="V60:W60" si="23">$Q$60*V59</f>
        <v>7.7089415844460802</v>
      </c>
      <c r="W60" s="38">
        <f t="shared" si="23"/>
        <v>8.479835742890689</v>
      </c>
    </row>
    <row r="61" spans="5:23" x14ac:dyDescent="0.2">
      <c r="E61" s="42" t="s">
        <v>111</v>
      </c>
      <c r="F61" s="29"/>
      <c r="G61" s="90"/>
      <c r="H61" s="38">
        <f ca="1">H51+SUM(H53:H58)</f>
        <v>4.8561780984000009</v>
      </c>
      <c r="I61" s="38">
        <f ca="1">I51+SUM(I53:I58)</f>
        <v>7.9112242409536009</v>
      </c>
      <c r="J61" s="38">
        <f ca="1">J51+SUM(J53:J58)</f>
        <v>12.820323419435836</v>
      </c>
      <c r="K61" s="38">
        <f t="shared" ref="K61:L61" ca="1" si="24">K51+SUM(K53:K58)</f>
        <v>17.101810164880348</v>
      </c>
      <c r="L61" s="38">
        <f t="shared" ca="1" si="24"/>
        <v>21.329616816820572</v>
      </c>
      <c r="M61" s="29"/>
      <c r="N61" s="29"/>
      <c r="O61" s="29"/>
      <c r="P61" s="3" t="s">
        <v>69</v>
      </c>
      <c r="Q61" s="29"/>
      <c r="R61" s="29"/>
      <c r="S61" s="93">
        <v>0</v>
      </c>
      <c r="T61" s="93">
        <v>0</v>
      </c>
      <c r="U61" s="93">
        <v>0</v>
      </c>
      <c r="V61" s="93">
        <v>0</v>
      </c>
      <c r="W61" s="93">
        <v>0</v>
      </c>
    </row>
    <row r="62" spans="5:23" x14ac:dyDescent="0.2">
      <c r="E62" s="42"/>
      <c r="F62" s="29"/>
      <c r="G62" s="82"/>
      <c r="H62" s="80"/>
      <c r="I62" s="80"/>
      <c r="J62" s="80"/>
      <c r="K62" s="80"/>
      <c r="L62" s="80"/>
      <c r="M62" s="86"/>
      <c r="N62" s="86"/>
      <c r="O62" s="29"/>
      <c r="P62" s="85" t="s">
        <v>64</v>
      </c>
      <c r="Q62" s="29"/>
      <c r="R62" s="29"/>
      <c r="S62" s="38">
        <f>SUM(S59:S61)</f>
        <v>63.710261028479991</v>
      </c>
      <c r="T62" s="38">
        <f>SUM(T59:T61)</f>
        <v>70.081287131327997</v>
      </c>
      <c r="U62" s="38">
        <f>SUM(U59:U61)</f>
        <v>77.089415844460802</v>
      </c>
      <c r="V62" s="38">
        <f t="shared" ref="V62:W62" si="25">SUM(V59:V61)</f>
        <v>84.798357428906883</v>
      </c>
      <c r="W62" s="38">
        <f t="shared" si="25"/>
        <v>93.278193171797568</v>
      </c>
    </row>
    <row r="63" spans="5:23" x14ac:dyDescent="0.2">
      <c r="E63" s="29"/>
      <c r="F63" s="29"/>
      <c r="G63" s="29"/>
      <c r="H63" s="29"/>
      <c r="I63" s="29"/>
      <c r="J63" s="29"/>
      <c r="K63" s="29"/>
      <c r="L63" s="29"/>
      <c r="M63" s="86"/>
      <c r="N63" s="86"/>
      <c r="O63" s="29"/>
      <c r="P63" s="3" t="s">
        <v>67</v>
      </c>
      <c r="Q63" s="29"/>
      <c r="R63" s="29"/>
      <c r="S63" s="38"/>
      <c r="T63" s="38"/>
      <c r="U63" s="38"/>
      <c r="V63" s="38"/>
      <c r="W63" s="38"/>
    </row>
    <row r="65" spans="1:29" x14ac:dyDescent="0.2">
      <c r="A65" s="113"/>
      <c r="B65" s="113"/>
      <c r="C65" s="113">
        <v>3</v>
      </c>
      <c r="D65" s="113" t="s">
        <v>97</v>
      </c>
      <c r="E65" s="114"/>
      <c r="F65" s="114"/>
      <c r="G65" s="114"/>
      <c r="H65" s="114"/>
      <c r="I65" s="114"/>
      <c r="J65" s="114"/>
      <c r="K65" s="114"/>
      <c r="L65" s="114"/>
      <c r="M65" s="114"/>
      <c r="N65" s="114"/>
      <c r="O65" s="114"/>
      <c r="P65" s="114"/>
      <c r="Q65" s="114"/>
      <c r="R65" s="114"/>
      <c r="S65" s="114"/>
      <c r="T65" s="114"/>
      <c r="U65" s="114"/>
      <c r="V65" s="114"/>
      <c r="W65" s="114"/>
      <c r="X65" s="114"/>
      <c r="Y65" s="114"/>
      <c r="Z65" s="114"/>
      <c r="AA65" s="114"/>
      <c r="AB65" s="114"/>
    </row>
    <row r="67" spans="1:29" x14ac:dyDescent="0.2">
      <c r="E67" s="29"/>
      <c r="F67" s="29"/>
      <c r="G67" s="78"/>
      <c r="H67" s="91">
        <f>H30</f>
        <v>2025</v>
      </c>
      <c r="I67" s="91">
        <f>I30</f>
        <v>2026</v>
      </c>
      <c r="J67" s="91">
        <f>J30</f>
        <v>2027</v>
      </c>
      <c r="K67" s="91">
        <f t="shared" ref="K67:L67" si="26">K30</f>
        <v>2028</v>
      </c>
      <c r="L67" s="91">
        <f t="shared" si="26"/>
        <v>2029</v>
      </c>
    </row>
    <row r="68" spans="1:29" x14ac:dyDescent="0.2">
      <c r="E68" s="23" t="s">
        <v>108</v>
      </c>
      <c r="F68" s="29"/>
      <c r="G68" s="78"/>
      <c r="H68" s="91"/>
      <c r="I68" s="91"/>
      <c r="J68" s="91"/>
      <c r="K68" s="91"/>
      <c r="L68" s="91"/>
    </row>
    <row r="69" spans="1:29" x14ac:dyDescent="0.2">
      <c r="E69" s="29" t="str">
        <f>P40</f>
        <v>Senior Debt - A</v>
      </c>
      <c r="F69" s="29"/>
      <c r="G69" s="29"/>
      <c r="H69" s="38">
        <f ca="1">S45</f>
        <v>49.587687599999988</v>
      </c>
      <c r="I69" s="38">
        <f ca="1">T45</f>
        <v>49.587687599999988</v>
      </c>
      <c r="J69" s="38">
        <f ca="1">U45</f>
        <v>49.587687599999988</v>
      </c>
      <c r="K69" s="38">
        <f t="shared" ref="K69:L69" ca="1" si="27">V45</f>
        <v>49.587687599999988</v>
      </c>
      <c r="L69" s="38">
        <f t="shared" ca="1" si="27"/>
        <v>49.587687599999988</v>
      </c>
    </row>
    <row r="70" spans="1:29" x14ac:dyDescent="0.2">
      <c r="E70" s="29" t="s">
        <v>28</v>
      </c>
      <c r="F70" s="29"/>
      <c r="G70" s="29"/>
      <c r="H70" s="38">
        <f>S55</f>
        <v>0</v>
      </c>
      <c r="I70" s="38">
        <f>T55</f>
        <v>0</v>
      </c>
      <c r="J70" s="38">
        <f>U55</f>
        <v>0</v>
      </c>
      <c r="K70" s="38">
        <f t="shared" ref="K70:L70" si="28">V55</f>
        <v>0</v>
      </c>
      <c r="L70" s="38">
        <f t="shared" si="28"/>
        <v>0</v>
      </c>
    </row>
    <row r="71" spans="1:29" x14ac:dyDescent="0.2">
      <c r="E71" s="29" t="s">
        <v>68</v>
      </c>
      <c r="F71" s="29"/>
      <c r="G71" s="29"/>
      <c r="H71" s="38">
        <f>S62</f>
        <v>63.710261028479991</v>
      </c>
      <c r="I71" s="38">
        <f>T62</f>
        <v>70.081287131327997</v>
      </c>
      <c r="J71" s="38">
        <f>U62</f>
        <v>77.089415844460802</v>
      </c>
      <c r="K71" s="38">
        <f t="shared" ref="K71:L71" si="29">V62</f>
        <v>84.798357428906883</v>
      </c>
      <c r="L71" s="38">
        <f t="shared" si="29"/>
        <v>93.278193171797568</v>
      </c>
    </row>
    <row r="72" spans="1:29" x14ac:dyDescent="0.2">
      <c r="E72" s="29" t="s">
        <v>109</v>
      </c>
      <c r="F72" s="29"/>
      <c r="G72" s="29"/>
      <c r="H72" s="38">
        <f>SUM(H16:H17)</f>
        <v>14.479604779199997</v>
      </c>
      <c r="I72" s="38">
        <f ca="1">H72+I51</f>
        <v>14.510928460441598</v>
      </c>
      <c r="J72" s="38">
        <f ca="1">I72+J51</f>
        <v>16.322373098620155</v>
      </c>
      <c r="K72" s="38">
        <f t="shared" ref="K72:L72" ca="1" si="30">J72+K51</f>
        <v>20.453143430552441</v>
      </c>
      <c r="L72" s="38">
        <f t="shared" ca="1" si="30"/>
        <v>27.592881101646441</v>
      </c>
    </row>
    <row r="73" spans="1:29" x14ac:dyDescent="0.2">
      <c r="E73" s="42" t="s">
        <v>110</v>
      </c>
      <c r="F73" s="42"/>
      <c r="G73" s="42"/>
      <c r="H73" s="47">
        <f ca="1">SUM(H69:H72)</f>
        <v>127.77755340767999</v>
      </c>
      <c r="I73" s="47">
        <f ca="1">SUM(I69:I72)</f>
        <v>134.17990319176957</v>
      </c>
      <c r="J73" s="47">
        <f ca="1">SUM(J69:J72)</f>
        <v>142.99947654308093</v>
      </c>
      <c r="K73" s="47">
        <f t="shared" ref="K73:L73" ca="1" si="31">SUM(K69:K72)</f>
        <v>154.83918845945931</v>
      </c>
      <c r="L73" s="47">
        <f t="shared" ca="1" si="31"/>
        <v>170.45876187344399</v>
      </c>
    </row>
    <row r="74" spans="1:29" x14ac:dyDescent="0.2">
      <c r="E74" s="29"/>
      <c r="F74" s="29"/>
      <c r="G74" s="29"/>
      <c r="H74" s="38"/>
      <c r="I74" s="38"/>
      <c r="J74" s="38"/>
      <c r="K74" s="38"/>
      <c r="L74" s="38"/>
    </row>
    <row r="75" spans="1:29" x14ac:dyDescent="0.2">
      <c r="E75" s="42" t="s">
        <v>98</v>
      </c>
      <c r="F75" s="42"/>
      <c r="G75" s="42"/>
      <c r="H75" s="47">
        <f ca="1">H61</f>
        <v>4.8561780984000009</v>
      </c>
      <c r="I75" s="47">
        <f ca="1">H75+I61</f>
        <v>12.767402339353602</v>
      </c>
      <c r="J75" s="47">
        <f ca="1">I75+J61</f>
        <v>25.587725758789439</v>
      </c>
      <c r="K75" s="47">
        <f t="shared" ref="K75:L75" ca="1" si="32">J75+K61</f>
        <v>42.689535923669787</v>
      </c>
      <c r="L75" s="47">
        <f t="shared" ca="1" si="32"/>
        <v>64.019152740490355</v>
      </c>
    </row>
    <row r="76" spans="1:29" x14ac:dyDescent="0.2">
      <c r="E76" s="29"/>
      <c r="F76" s="29"/>
      <c r="G76" s="29"/>
      <c r="H76" s="38"/>
      <c r="I76" s="38"/>
      <c r="J76" s="38"/>
      <c r="K76" s="38"/>
      <c r="L76" s="38"/>
    </row>
    <row r="77" spans="1:29" x14ac:dyDescent="0.2">
      <c r="E77" s="42" t="s">
        <v>70</v>
      </c>
      <c r="F77" s="42"/>
      <c r="G77" s="42"/>
      <c r="H77" s="47">
        <f ca="1">H69+H70+H71-H75</f>
        <v>108.44177053007999</v>
      </c>
      <c r="I77" s="47">
        <f t="shared" ref="I77:K77" ca="1" si="33">I69+I70+I71-I75</f>
        <v>106.90157239197438</v>
      </c>
      <c r="J77" s="47">
        <f t="shared" ca="1" si="33"/>
        <v>101.08937768567134</v>
      </c>
      <c r="K77" s="47">
        <f t="shared" ca="1" si="33"/>
        <v>91.696509105237084</v>
      </c>
      <c r="L77" s="47">
        <f ca="1">L69+L70+L71-L75</f>
        <v>78.846728031307194</v>
      </c>
      <c r="AC77" s="7" t="s">
        <v>104</v>
      </c>
    </row>
    <row r="79" spans="1:29" x14ac:dyDescent="0.2">
      <c r="A79" s="113"/>
      <c r="B79" s="113"/>
      <c r="C79" s="113">
        <v>4</v>
      </c>
      <c r="D79" s="113" t="s">
        <v>75</v>
      </c>
      <c r="E79" s="114"/>
      <c r="F79" s="114"/>
      <c r="G79" s="114"/>
      <c r="H79" s="114"/>
      <c r="I79" s="114"/>
      <c r="J79" s="114"/>
      <c r="K79" s="114"/>
      <c r="L79" s="114"/>
      <c r="M79" s="114"/>
      <c r="N79" s="114"/>
      <c r="O79" s="114"/>
      <c r="P79" s="114"/>
      <c r="Q79" s="114"/>
      <c r="R79" s="114"/>
      <c r="S79" s="114"/>
      <c r="T79" s="114"/>
      <c r="U79" s="114"/>
      <c r="V79" s="114"/>
      <c r="W79" s="114"/>
      <c r="X79" s="114"/>
      <c r="Y79" s="114"/>
      <c r="Z79" s="114"/>
      <c r="AA79" s="114"/>
      <c r="AB79" s="114"/>
    </row>
    <row r="81" spans="5:29" x14ac:dyDescent="0.2">
      <c r="E81" s="29"/>
      <c r="F81" s="12" t="s">
        <v>6</v>
      </c>
      <c r="G81" s="12" t="s">
        <v>76</v>
      </c>
      <c r="H81" s="12" t="s">
        <v>78</v>
      </c>
      <c r="I81" s="12" t="s">
        <v>80</v>
      </c>
      <c r="J81" s="14" t="s">
        <v>82</v>
      </c>
      <c r="K81" s="12" t="s">
        <v>84</v>
      </c>
      <c r="L81" s="12" t="s">
        <v>84</v>
      </c>
      <c r="M81" s="21" t="s">
        <v>1</v>
      </c>
      <c r="N81" s="29"/>
    </row>
    <row r="82" spans="5:29" x14ac:dyDescent="0.2">
      <c r="E82" s="29"/>
      <c r="F82" s="13" t="s">
        <v>71</v>
      </c>
      <c r="G82" s="13" t="s">
        <v>77</v>
      </c>
      <c r="H82" s="13" t="s">
        <v>79</v>
      </c>
      <c r="I82" s="13" t="s">
        <v>81</v>
      </c>
      <c r="J82" s="15" t="s">
        <v>83</v>
      </c>
      <c r="K82" s="13" t="s">
        <v>85</v>
      </c>
      <c r="L82" s="13" t="s">
        <v>86</v>
      </c>
      <c r="M82" s="13" t="s">
        <v>81</v>
      </c>
      <c r="N82" s="29"/>
    </row>
    <row r="83" spans="5:29" x14ac:dyDescent="0.2">
      <c r="E83" s="29" t="s">
        <v>87</v>
      </c>
      <c r="F83" s="87">
        <f>F84-1</f>
        <v>10</v>
      </c>
      <c r="G83" s="80">
        <f>F83*$L$38</f>
        <v>243.96301736463474</v>
      </c>
      <c r="H83" s="80">
        <f ca="1">-$L$77</f>
        <v>-78.846728031307194</v>
      </c>
      <c r="I83" s="80">
        <f ca="1">G83+H83</f>
        <v>165.11628933332753</v>
      </c>
      <c r="J83" s="95">
        <f>$N$17</f>
        <v>0.8</v>
      </c>
      <c r="K83" s="80">
        <f ca="1">I83*J83</f>
        <v>132.09303146666204</v>
      </c>
      <c r="L83" s="80">
        <f>$W$62</f>
        <v>93.278193171797568</v>
      </c>
      <c r="M83" s="80">
        <f ca="1">K83+L83</f>
        <v>225.37122463845961</v>
      </c>
      <c r="N83" s="29"/>
      <c r="AC83" s="7" t="s">
        <v>95</v>
      </c>
    </row>
    <row r="84" spans="5:29" x14ac:dyDescent="0.2">
      <c r="E84" s="29"/>
      <c r="F84" s="87">
        <f>F85-1</f>
        <v>11</v>
      </c>
      <c r="G84" s="80">
        <f>F84*$L$38</f>
        <v>268.35931910109821</v>
      </c>
      <c r="H84" s="80">
        <f t="shared" ref="H84:H87" ca="1" si="34">-$L$77</f>
        <v>-78.846728031307194</v>
      </c>
      <c r="I84" s="80">
        <f ca="1">G84+H84</f>
        <v>189.51259106979103</v>
      </c>
      <c r="J84" s="95">
        <f t="shared" ref="J84:J87" si="35">$N$17</f>
        <v>0.8</v>
      </c>
      <c r="K84" s="80">
        <f ca="1">I84*J84</f>
        <v>151.61007285583284</v>
      </c>
      <c r="L84" s="80">
        <f t="shared" ref="L84:L87" si="36">$W$62</f>
        <v>93.278193171797568</v>
      </c>
      <c r="M84" s="80">
        <f ca="1">K84+L84</f>
        <v>244.88826602763041</v>
      </c>
      <c r="N84" s="29"/>
    </row>
    <row r="85" spans="5:29" x14ac:dyDescent="0.2">
      <c r="E85" s="29"/>
      <c r="F85" s="87">
        <f>G8</f>
        <v>12</v>
      </c>
      <c r="G85" s="80">
        <f>F85*$L$38</f>
        <v>292.75562083756171</v>
      </c>
      <c r="H85" s="80">
        <f t="shared" ca="1" si="34"/>
        <v>-78.846728031307194</v>
      </c>
      <c r="I85" s="80">
        <f ca="1">G85+H85</f>
        <v>213.90889280625453</v>
      </c>
      <c r="J85" s="95">
        <f t="shared" si="35"/>
        <v>0.8</v>
      </c>
      <c r="K85" s="80">
        <f ca="1">I85*J85</f>
        <v>171.12711424500364</v>
      </c>
      <c r="L85" s="80">
        <f t="shared" si="36"/>
        <v>93.278193171797568</v>
      </c>
      <c r="M85" s="80">
        <f ca="1">K85+L85</f>
        <v>264.40530741680118</v>
      </c>
      <c r="N85" s="29"/>
    </row>
    <row r="86" spans="5:29" x14ac:dyDescent="0.2">
      <c r="E86" s="29"/>
      <c r="F86" s="87">
        <f>F85+1</f>
        <v>13</v>
      </c>
      <c r="G86" s="80">
        <f>F86*$L$38</f>
        <v>317.15192257402515</v>
      </c>
      <c r="H86" s="80">
        <f t="shared" ca="1" si="34"/>
        <v>-78.846728031307194</v>
      </c>
      <c r="I86" s="80">
        <f ca="1">G86+H86</f>
        <v>238.30519454271797</v>
      </c>
      <c r="J86" s="95">
        <f t="shared" si="35"/>
        <v>0.8</v>
      </c>
      <c r="K86" s="80">
        <f ca="1">I86*J86</f>
        <v>190.64415563417438</v>
      </c>
      <c r="L86" s="80">
        <f t="shared" si="36"/>
        <v>93.278193171797568</v>
      </c>
      <c r="M86" s="80">
        <f ca="1">K86+L86</f>
        <v>283.92234880597198</v>
      </c>
      <c r="N86" s="29"/>
    </row>
    <row r="87" spans="5:29" x14ac:dyDescent="0.2">
      <c r="E87" s="29"/>
      <c r="F87" s="87">
        <f>F86+1</f>
        <v>14</v>
      </c>
      <c r="G87" s="80">
        <f>F87*$L$38</f>
        <v>341.54822431048865</v>
      </c>
      <c r="H87" s="80">
        <f t="shared" ca="1" si="34"/>
        <v>-78.846728031307194</v>
      </c>
      <c r="I87" s="80">
        <f ca="1">G87+H87</f>
        <v>262.70149627918147</v>
      </c>
      <c r="J87" s="95">
        <f t="shared" si="35"/>
        <v>0.8</v>
      </c>
      <c r="K87" s="80">
        <f ca="1">I87*J87</f>
        <v>210.16119702334518</v>
      </c>
      <c r="L87" s="80">
        <f t="shared" si="36"/>
        <v>93.278193171797568</v>
      </c>
      <c r="M87" s="80">
        <f ca="1">K87+L87</f>
        <v>303.43939019514278</v>
      </c>
      <c r="N87" s="29"/>
    </row>
    <row r="88" spans="5:29" x14ac:dyDescent="0.2">
      <c r="E88" s="29"/>
      <c r="F88" s="29"/>
      <c r="G88" s="29"/>
      <c r="H88" s="29"/>
      <c r="I88" s="29"/>
      <c r="J88" s="29"/>
      <c r="K88" s="29"/>
      <c r="L88" s="29"/>
      <c r="M88" s="29"/>
      <c r="N88" s="29"/>
    </row>
    <row r="89" spans="5:29" x14ac:dyDescent="0.2">
      <c r="E89" s="29" t="s">
        <v>91</v>
      </c>
      <c r="F89" s="29"/>
      <c r="G89" s="54">
        <f>-H17</f>
        <v>-11.583683823359998</v>
      </c>
      <c r="H89" s="29"/>
      <c r="I89" s="29"/>
      <c r="J89" s="29"/>
      <c r="K89" s="29"/>
      <c r="L89" s="29"/>
      <c r="M89" s="29"/>
      <c r="N89" s="29"/>
    </row>
    <row r="90" spans="5:29" x14ac:dyDescent="0.2">
      <c r="E90" s="29" t="s">
        <v>92</v>
      </c>
      <c r="F90" s="29"/>
      <c r="G90" s="54">
        <f>-H19</f>
        <v>-57.918419116799988</v>
      </c>
      <c r="H90" s="29"/>
      <c r="I90" s="29"/>
      <c r="J90" s="29"/>
      <c r="K90" s="29"/>
      <c r="L90" s="29"/>
      <c r="M90" s="29"/>
      <c r="N90" s="29"/>
    </row>
    <row r="91" spans="5:29" x14ac:dyDescent="0.2">
      <c r="E91" s="42" t="s">
        <v>93</v>
      </c>
      <c r="F91" s="42"/>
      <c r="G91" s="77">
        <f>SUM(G89:G90)</f>
        <v>-69.502102940159986</v>
      </c>
      <c r="H91" s="29"/>
      <c r="I91" s="29"/>
      <c r="J91" s="29"/>
      <c r="K91" s="29"/>
      <c r="L91" s="29"/>
      <c r="M91" s="29"/>
      <c r="N91" s="29"/>
    </row>
    <row r="92" spans="5:29" x14ac:dyDescent="0.2">
      <c r="E92" s="29"/>
      <c r="F92" s="29"/>
      <c r="G92" s="29"/>
      <c r="H92" s="29"/>
      <c r="I92" s="29"/>
      <c r="J92" s="29"/>
      <c r="K92" s="29"/>
      <c r="L92" s="29"/>
      <c r="M92" s="29"/>
      <c r="N92" s="29"/>
    </row>
    <row r="93" spans="5:29" x14ac:dyDescent="0.2">
      <c r="E93" s="29"/>
      <c r="F93" s="29"/>
      <c r="G93" s="29"/>
      <c r="H93" s="29"/>
      <c r="I93" s="29"/>
      <c r="J93" s="29"/>
      <c r="K93" s="29"/>
      <c r="L93" s="29"/>
      <c r="M93" s="29"/>
      <c r="N93" s="29"/>
    </row>
    <row r="94" spans="5:29" x14ac:dyDescent="0.2">
      <c r="E94" s="29"/>
      <c r="F94" s="29"/>
      <c r="G94" s="12" t="s">
        <v>6</v>
      </c>
      <c r="H94" s="17" t="s">
        <v>90</v>
      </c>
      <c r="I94" s="29"/>
      <c r="J94" s="29"/>
      <c r="K94" s="29"/>
      <c r="L94" s="29"/>
      <c r="M94" s="29"/>
      <c r="N94" s="29"/>
      <c r="AC94" s="7" t="s">
        <v>96</v>
      </c>
    </row>
    <row r="95" spans="5:29" x14ac:dyDescent="0.2">
      <c r="E95" s="29"/>
      <c r="F95" s="16" t="s">
        <v>89</v>
      </c>
      <c r="G95" s="13" t="s">
        <v>71</v>
      </c>
      <c r="H95" s="18" t="s">
        <v>71</v>
      </c>
      <c r="I95" s="19">
        <f>G5</f>
        <v>46022</v>
      </c>
      <c r="J95" s="19">
        <f>EOMONTH(I95,12)</f>
        <v>46387</v>
      </c>
      <c r="K95" s="19">
        <f>EOMONTH(J95,12)</f>
        <v>46752</v>
      </c>
      <c r="L95" s="19">
        <f>EOMONTH(K95,12)</f>
        <v>47118</v>
      </c>
      <c r="M95" s="19">
        <f>EOMONTH(L95,12)</f>
        <v>47483</v>
      </c>
      <c r="N95" s="29"/>
    </row>
    <row r="96" spans="5:29" x14ac:dyDescent="0.2">
      <c r="E96" s="29" t="s">
        <v>88</v>
      </c>
      <c r="F96" s="88">
        <f ca="1">XIRR(I96:M96,$I$95:$M$95)</f>
        <v>0.3416452825069427</v>
      </c>
      <c r="G96" s="87">
        <f>F83</f>
        <v>10</v>
      </c>
      <c r="H96" s="20">
        <f ca="1">M96/-I96</f>
        <v>3.2426533170154581</v>
      </c>
      <c r="I96" s="80">
        <f>$G$91</f>
        <v>-69.502102940159986</v>
      </c>
      <c r="J96" s="80">
        <v>0</v>
      </c>
      <c r="K96" s="80">
        <v>0</v>
      </c>
      <c r="L96" s="80">
        <v>0</v>
      </c>
      <c r="M96" s="80">
        <f ca="1">M83</f>
        <v>225.37122463845961</v>
      </c>
      <c r="N96" s="29"/>
    </row>
    <row r="97" spans="1:45" x14ac:dyDescent="0.2">
      <c r="E97" s="29"/>
      <c r="F97" s="88">
        <f ca="1">XIRR(I97:M97,$I$95:$M$95)</f>
        <v>0.36977397799491885</v>
      </c>
      <c r="G97" s="87">
        <f>F84</f>
        <v>11</v>
      </c>
      <c r="H97" s="20">
        <f t="shared" ref="H97:H100" ca="1" si="37">M97/-I97</f>
        <v>3.5234655595741415</v>
      </c>
      <c r="I97" s="80">
        <f t="shared" ref="I97:I100" si="38">$G$91</f>
        <v>-69.502102940159986</v>
      </c>
      <c r="J97" s="80">
        <v>0</v>
      </c>
      <c r="K97" s="80">
        <v>0</v>
      </c>
      <c r="L97" s="80">
        <v>0</v>
      </c>
      <c r="M97" s="80">
        <f t="shared" ref="M97:M100" ca="1" si="39">M84</f>
        <v>244.88826602763041</v>
      </c>
      <c r="N97" s="29"/>
      <c r="AC97" s="7" t="s">
        <v>105</v>
      </c>
    </row>
    <row r="98" spans="1:45" x14ac:dyDescent="0.2">
      <c r="E98" s="29"/>
      <c r="F98" s="88">
        <f ca="1">XIRR(I98:M98,$I$95:$M$95)</f>
        <v>0.39626793265342708</v>
      </c>
      <c r="G98" s="87">
        <f>F85</f>
        <v>12</v>
      </c>
      <c r="H98" s="20">
        <f t="shared" ca="1" si="37"/>
        <v>3.804277802132825</v>
      </c>
      <c r="I98" s="80">
        <f t="shared" si="38"/>
        <v>-69.502102940159986</v>
      </c>
      <c r="J98" s="80">
        <v>0</v>
      </c>
      <c r="K98" s="80">
        <v>0</v>
      </c>
      <c r="L98" s="80">
        <v>0</v>
      </c>
      <c r="M98" s="80">
        <f t="shared" ca="1" si="39"/>
        <v>264.40530741680118</v>
      </c>
      <c r="N98" s="29"/>
      <c r="O98" s="22"/>
      <c r="AD98" s="22">
        <f>(L98/-I98)^(1/3)-1</f>
        <v>-1</v>
      </c>
    </row>
    <row r="99" spans="1:45" x14ac:dyDescent="0.2">
      <c r="E99" s="29"/>
      <c r="F99" s="88">
        <f ca="1">XIRR(I99:M99,$I$95:$M$95)</f>
        <v>0.42133294939994814</v>
      </c>
      <c r="G99" s="87">
        <f>F86</f>
        <v>13</v>
      </c>
      <c r="H99" s="20">
        <f t="shared" ca="1" si="37"/>
        <v>4.0850900446915084</v>
      </c>
      <c r="I99" s="80">
        <f t="shared" si="38"/>
        <v>-69.502102940159986</v>
      </c>
      <c r="J99" s="80">
        <v>0</v>
      </c>
      <c r="K99" s="80">
        <v>0</v>
      </c>
      <c r="L99" s="80">
        <v>0</v>
      </c>
      <c r="M99" s="80">
        <f t="shared" ca="1" si="39"/>
        <v>283.92234880597198</v>
      </c>
      <c r="N99" s="29"/>
    </row>
    <row r="100" spans="1:45" x14ac:dyDescent="0.2">
      <c r="E100" s="29"/>
      <c r="F100" s="88">
        <f ca="1">XIRR(I100:M100,$I$95:$M$95)</f>
        <v>0.44513685107231138</v>
      </c>
      <c r="G100" s="87">
        <f>F87</f>
        <v>14</v>
      </c>
      <c r="H100" s="20">
        <f t="shared" ca="1" si="37"/>
        <v>4.3659022872501918</v>
      </c>
      <c r="I100" s="80">
        <f t="shared" si="38"/>
        <v>-69.502102940159986</v>
      </c>
      <c r="J100" s="80">
        <v>0</v>
      </c>
      <c r="K100" s="80">
        <v>0</v>
      </c>
      <c r="L100" s="80">
        <v>0</v>
      </c>
      <c r="M100" s="80">
        <f t="shared" ca="1" si="39"/>
        <v>303.43939019514278</v>
      </c>
      <c r="N100" s="29"/>
    </row>
    <row r="102" spans="1:45" ht="16" x14ac:dyDescent="0.2">
      <c r="A102" s="166" t="s">
        <v>274</v>
      </c>
      <c r="B102" s="166"/>
      <c r="C102" s="166"/>
      <c r="D102" s="166"/>
      <c r="E102" s="166"/>
      <c r="F102" s="166"/>
      <c r="G102" s="166"/>
      <c r="H102" s="166"/>
      <c r="I102" s="166"/>
      <c r="J102" s="166"/>
      <c r="K102" s="166"/>
      <c r="L102" s="166"/>
      <c r="M102" s="166"/>
      <c r="N102" s="166"/>
      <c r="O102" s="166"/>
      <c r="P102" s="166"/>
      <c r="Q102" s="166"/>
      <c r="R102" s="166"/>
      <c r="S102" s="166"/>
      <c r="T102" s="166"/>
      <c r="U102" s="166"/>
      <c r="V102" s="166"/>
      <c r="W102" s="166"/>
      <c r="X102" s="166"/>
      <c r="Y102" s="166"/>
      <c r="Z102" s="166"/>
      <c r="AA102" s="166"/>
      <c r="AB102" s="166"/>
      <c r="AC102" s="166"/>
      <c r="AD102" s="166"/>
      <c r="AE102" s="166"/>
      <c r="AF102" s="166"/>
      <c r="AG102" s="166"/>
      <c r="AH102" s="166"/>
      <c r="AI102" s="166"/>
      <c r="AJ102" s="166"/>
      <c r="AK102" s="166"/>
      <c r="AL102" s="166"/>
      <c r="AM102" s="166"/>
      <c r="AN102" s="166"/>
      <c r="AO102" s="166"/>
      <c r="AP102" s="166"/>
      <c r="AQ102" s="166"/>
      <c r="AR102" s="166"/>
      <c r="AS102" s="166"/>
    </row>
  </sheetData>
  <pageMargins left="0.7" right="0.7" top="0.75" bottom="0.75" header="0.3" footer="0.3"/>
  <pageSetup paperSize="9" scale="30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F2CF7-CDF2-4584-B59D-01BA351B185A}">
  <sheetPr>
    <tabColor rgb="FFFF0000"/>
  </sheetPr>
  <dimension ref="A1"/>
  <sheetViews>
    <sheetView showGridLines="0"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0E2FE-34C3-493D-B54A-753BC667F6FC}">
  <sheetPr>
    <tabColor theme="9" tint="0.39997558519241921"/>
  </sheetPr>
  <dimension ref="A1:AQ163"/>
  <sheetViews>
    <sheetView showGridLines="0" view="pageBreakPreview" zoomScaleNormal="100" zoomScaleSheetLayoutView="100" workbookViewId="0">
      <pane xSplit="6" ySplit="11" topLeftCell="G12" activePane="bottomRight" state="frozen"/>
      <selection activeCell="A8" sqref="A8"/>
      <selection pane="topRight" activeCell="A8" sqref="A8"/>
      <selection pane="bottomLeft" activeCell="A8" sqref="A8"/>
      <selection pane="bottomRight"/>
    </sheetView>
  </sheetViews>
  <sheetFormatPr baseColWidth="10" defaultColWidth="8.83203125" defaultRowHeight="15" x14ac:dyDescent="0.2"/>
  <cols>
    <col min="1" max="3" width="2.1640625" customWidth="1"/>
    <col min="4" max="4" width="4.33203125" customWidth="1"/>
    <col min="5" max="5" width="33.6640625" customWidth="1"/>
    <col min="6" max="6" width="17.33203125" customWidth="1"/>
    <col min="7" max="7" width="3.83203125" customWidth="1"/>
    <col min="8" max="13" width="10.6640625" style="24" customWidth="1"/>
    <col min="15" max="15" width="17" bestFit="1" customWidth="1"/>
  </cols>
  <sheetData>
    <row r="1" spans="1:43" ht="19" x14ac:dyDescent="0.25">
      <c r="A1" s="165" t="str" cm="1">
        <f t="array" aca="1" ref="A1" ca="1">MID(CELL("filename",B1),FIND("]",CELL("filename",B1))+1,255)</f>
        <v>Acquisition Assumptions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</row>
    <row r="3" spans="1:43" x14ac:dyDescent="0.2">
      <c r="D3" s="29"/>
      <c r="E3" s="25" t="s">
        <v>172</v>
      </c>
      <c r="F3" s="26"/>
      <c r="G3" s="26"/>
      <c r="H3" s="26">
        <v>45292</v>
      </c>
      <c r="I3" s="26">
        <f>EDATE(H3,12)</f>
        <v>45658</v>
      </c>
      <c r="J3" s="26">
        <f t="shared" ref="J3:M3" si="0">EDATE(I3,12)</f>
        <v>46023</v>
      </c>
      <c r="K3" s="26">
        <f t="shared" si="0"/>
        <v>46388</v>
      </c>
      <c r="L3" s="26">
        <f t="shared" si="0"/>
        <v>46753</v>
      </c>
      <c r="M3" s="26">
        <f t="shared" si="0"/>
        <v>47119</v>
      </c>
      <c r="N3" s="29"/>
      <c r="O3" s="29"/>
      <c r="P3" s="29"/>
    </row>
    <row r="4" spans="1:43" x14ac:dyDescent="0.2">
      <c r="D4" s="29"/>
      <c r="E4" s="25" t="s">
        <v>173</v>
      </c>
      <c r="F4" s="26"/>
      <c r="G4" s="26"/>
      <c r="H4" s="26">
        <f>EOMONTH(H3,11)</f>
        <v>45657</v>
      </c>
      <c r="I4" s="26">
        <f>EOMONTH(I3,11)</f>
        <v>46022</v>
      </c>
      <c r="J4" s="26">
        <f t="shared" ref="J4:M4" si="1">EOMONTH(J3,11)</f>
        <v>46387</v>
      </c>
      <c r="K4" s="26">
        <f t="shared" si="1"/>
        <v>46752</v>
      </c>
      <c r="L4" s="26">
        <f t="shared" si="1"/>
        <v>47118</v>
      </c>
      <c r="M4" s="26">
        <f t="shared" si="1"/>
        <v>47483</v>
      </c>
      <c r="N4" s="29"/>
      <c r="O4" s="29"/>
      <c r="P4" s="29"/>
    </row>
    <row r="5" spans="1:43" x14ac:dyDescent="0.2">
      <c r="D5" s="29"/>
      <c r="E5" s="25" t="s">
        <v>174</v>
      </c>
      <c r="F5" s="27"/>
      <c r="G5" s="27"/>
      <c r="H5" s="27">
        <f t="shared" ref="H5:M5" si="2">YEAR(H4)</f>
        <v>2024</v>
      </c>
      <c r="I5" s="27">
        <f t="shared" si="2"/>
        <v>2025</v>
      </c>
      <c r="J5" s="27">
        <f t="shared" si="2"/>
        <v>2026</v>
      </c>
      <c r="K5" s="27">
        <f t="shared" si="2"/>
        <v>2027</v>
      </c>
      <c r="L5" s="27">
        <f t="shared" si="2"/>
        <v>2028</v>
      </c>
      <c r="M5" s="27">
        <f t="shared" si="2"/>
        <v>2029</v>
      </c>
      <c r="N5" s="29"/>
      <c r="O5" s="29"/>
      <c r="P5" s="29"/>
    </row>
    <row r="6" spans="1:43" x14ac:dyDescent="0.2">
      <c r="D6" s="29"/>
      <c r="E6" s="25" t="s">
        <v>175</v>
      </c>
      <c r="F6" s="27"/>
      <c r="G6" s="27"/>
      <c r="H6" s="27">
        <f t="shared" ref="H6:M6" si="3">ROUNDUP(MONTH(H4)/3,0)</f>
        <v>4</v>
      </c>
      <c r="I6" s="27">
        <f t="shared" si="3"/>
        <v>4</v>
      </c>
      <c r="J6" s="27">
        <f t="shared" si="3"/>
        <v>4</v>
      </c>
      <c r="K6" s="27">
        <f t="shared" si="3"/>
        <v>4</v>
      </c>
      <c r="L6" s="27">
        <f t="shared" si="3"/>
        <v>4</v>
      </c>
      <c r="M6" s="27">
        <f t="shared" si="3"/>
        <v>4</v>
      </c>
      <c r="N6" s="29"/>
      <c r="O6" s="29"/>
      <c r="P6" s="29"/>
    </row>
    <row r="7" spans="1:43" x14ac:dyDescent="0.2">
      <c r="D7" s="29"/>
      <c r="E7" s="25" t="s">
        <v>176</v>
      </c>
      <c r="F7" s="27"/>
      <c r="G7" s="27"/>
      <c r="H7" s="27">
        <f t="shared" ref="H7:M7" si="4">MONTH(H4)</f>
        <v>12</v>
      </c>
      <c r="I7" s="27">
        <f t="shared" si="4"/>
        <v>12</v>
      </c>
      <c r="J7" s="27">
        <f t="shared" si="4"/>
        <v>12</v>
      </c>
      <c r="K7" s="27">
        <f t="shared" si="4"/>
        <v>12</v>
      </c>
      <c r="L7" s="27">
        <f t="shared" si="4"/>
        <v>12</v>
      </c>
      <c r="M7" s="27">
        <f t="shared" si="4"/>
        <v>12</v>
      </c>
      <c r="N7" s="29"/>
      <c r="O7" s="29"/>
      <c r="P7" s="29"/>
    </row>
    <row r="8" spans="1:43" x14ac:dyDescent="0.2">
      <c r="D8" s="29"/>
      <c r="E8" s="25" t="s">
        <v>177</v>
      </c>
      <c r="F8" s="27"/>
      <c r="G8" s="27"/>
      <c r="H8" s="27">
        <v>1</v>
      </c>
      <c r="I8" s="27">
        <f>H8+1</f>
        <v>2</v>
      </c>
      <c r="J8" s="27">
        <f t="shared" ref="J8:M8" si="5">I8+1</f>
        <v>3</v>
      </c>
      <c r="K8" s="27">
        <f t="shared" si="5"/>
        <v>4</v>
      </c>
      <c r="L8" s="27">
        <f t="shared" si="5"/>
        <v>5</v>
      </c>
      <c r="M8" s="27">
        <f t="shared" si="5"/>
        <v>6</v>
      </c>
      <c r="N8" s="29"/>
      <c r="O8" s="29"/>
      <c r="P8" s="29"/>
    </row>
    <row r="9" spans="1:43" x14ac:dyDescent="0.2">
      <c r="D9" s="29"/>
      <c r="E9" s="25" t="s">
        <v>178</v>
      </c>
      <c r="F9" s="27"/>
      <c r="G9" s="27"/>
      <c r="H9" s="27" t="s">
        <v>180</v>
      </c>
      <c r="I9" s="27" t="s">
        <v>180</v>
      </c>
      <c r="J9" s="27" t="s">
        <v>180</v>
      </c>
      <c r="K9" s="27" t="s">
        <v>180</v>
      </c>
      <c r="L9" s="27" t="s">
        <v>180</v>
      </c>
      <c r="M9" s="27" t="s">
        <v>180</v>
      </c>
      <c r="N9" s="29"/>
      <c r="O9" s="29"/>
      <c r="P9" s="29"/>
    </row>
    <row r="10" spans="1:43" x14ac:dyDescent="0.2">
      <c r="D10" s="29"/>
      <c r="E10" s="25" t="s">
        <v>179</v>
      </c>
      <c r="F10" s="28"/>
      <c r="G10" s="28"/>
      <c r="H10" s="28" t="str">
        <f ca="1">IF(H4&lt;=TODAY(),"Actual","Forecast")</f>
        <v>Actual</v>
      </c>
      <c r="I10" s="28" t="str">
        <f t="shared" ref="I10:M10" ca="1" si="6">IF(I4&lt;=TODAY(),"Actual","Forecast")</f>
        <v>Actual</v>
      </c>
      <c r="J10" s="28" t="str">
        <f t="shared" ca="1" si="6"/>
        <v>Forecast</v>
      </c>
      <c r="K10" s="28" t="str">
        <f t="shared" ca="1" si="6"/>
        <v>Forecast</v>
      </c>
      <c r="L10" s="28" t="str">
        <f t="shared" ca="1" si="6"/>
        <v>Forecast</v>
      </c>
      <c r="M10" s="28" t="str">
        <f t="shared" ca="1" si="6"/>
        <v>Forecast</v>
      </c>
      <c r="N10" s="29"/>
      <c r="O10" s="29" t="s">
        <v>112</v>
      </c>
      <c r="P10" s="30">
        <f>LBO!G11</f>
        <v>0</v>
      </c>
    </row>
    <row r="11" spans="1:43" x14ac:dyDescent="0.2">
      <c r="D11" s="29"/>
      <c r="E11" s="25" t="s">
        <v>113</v>
      </c>
      <c r="F11" s="28"/>
      <c r="G11" s="28"/>
      <c r="H11" s="28"/>
      <c r="I11" s="28"/>
      <c r="J11" s="28"/>
      <c r="K11" s="28"/>
      <c r="L11" s="28"/>
      <c r="M11" s="28"/>
      <c r="N11" s="29"/>
      <c r="O11" s="29"/>
      <c r="P11" s="29"/>
    </row>
    <row r="12" spans="1:43" x14ac:dyDescent="0.2">
      <c r="D12" s="29"/>
      <c r="E12" s="29"/>
      <c r="F12" s="29"/>
      <c r="G12" s="29"/>
      <c r="H12" s="31"/>
      <c r="I12" s="31"/>
      <c r="J12" s="31"/>
      <c r="K12" s="31"/>
      <c r="L12" s="31"/>
      <c r="M12" s="31"/>
      <c r="N12" s="29"/>
      <c r="O12" s="29"/>
      <c r="P12" s="29"/>
    </row>
    <row r="13" spans="1:43" x14ac:dyDescent="0.2">
      <c r="A13" s="167"/>
      <c r="B13" s="167"/>
      <c r="C13" s="167"/>
      <c r="D13" s="167">
        <v>1</v>
      </c>
      <c r="E13" s="115" t="s">
        <v>115</v>
      </c>
      <c r="F13" s="115"/>
      <c r="G13" s="115"/>
      <c r="H13" s="168"/>
      <c r="I13" s="168"/>
      <c r="J13" s="168"/>
      <c r="K13" s="168"/>
      <c r="L13" s="168"/>
      <c r="M13" s="168"/>
      <c r="N13" s="168"/>
      <c r="O13" s="168"/>
      <c r="P13" s="168"/>
      <c r="Q13" s="168"/>
    </row>
    <row r="14" spans="1:43" x14ac:dyDescent="0.2">
      <c r="D14" s="29"/>
      <c r="E14" s="29"/>
      <c r="F14" s="29"/>
      <c r="G14" s="29"/>
      <c r="H14" s="31"/>
      <c r="I14" s="31"/>
      <c r="J14" s="31"/>
      <c r="K14" s="31"/>
      <c r="L14" s="31"/>
      <c r="M14" s="31"/>
      <c r="N14" s="29"/>
      <c r="O14" s="29"/>
      <c r="P14" s="29"/>
    </row>
    <row r="15" spans="1:43" x14ac:dyDescent="0.2">
      <c r="D15" s="29"/>
      <c r="E15" s="36" t="s">
        <v>116</v>
      </c>
      <c r="F15" s="36"/>
      <c r="G15" s="36"/>
      <c r="H15" s="37" cm="1">
        <f t="array" ref="H15">INDEX(H16:H17,LBO!$G$11+1)</f>
        <v>26.460159999999998</v>
      </c>
      <c r="I15" s="37" cm="1">
        <f t="array" ref="I15">INDEX(I16:I17,LBO!$G$11+1)</f>
        <v>33.058458399999992</v>
      </c>
      <c r="J15" s="37" cm="1">
        <f t="array" ref="J15">INDEX(J16:J17,LBO!$G$11+1)</f>
        <v>41.341634415999998</v>
      </c>
      <c r="K15" s="37" cm="1">
        <f t="array" ref="K15">INDEX(K16:K17,LBO!$G$11+1)</f>
        <v>51.749830075839995</v>
      </c>
      <c r="L15" s="37" cm="1">
        <f t="array" ref="L15">INDEX(L16:L17,LBO!$G$11+1)</f>
        <v>64.840630034041581</v>
      </c>
      <c r="M15" s="37" cm="1">
        <f t="array" ref="M15">INDEX(M16:M17,LBO!$G$11+1)</f>
        <v>81.321005788211579</v>
      </c>
      <c r="N15" s="29"/>
      <c r="O15" s="29"/>
      <c r="P15" s="29"/>
    </row>
    <row r="16" spans="1:43" x14ac:dyDescent="0.2">
      <c r="D16" s="29"/>
      <c r="E16" s="29" t="s">
        <v>117</v>
      </c>
      <c r="F16" s="29"/>
      <c r="G16" s="29"/>
      <c r="H16" s="38">
        <f t="shared" ref="H16:M16" si="7">H60</f>
        <v>26.460159999999998</v>
      </c>
      <c r="I16" s="38">
        <f t="shared" si="7"/>
        <v>33.058458399999992</v>
      </c>
      <c r="J16" s="38">
        <f t="shared" si="7"/>
        <v>41.341634415999998</v>
      </c>
      <c r="K16" s="38">
        <f t="shared" si="7"/>
        <v>51.749830075839995</v>
      </c>
      <c r="L16" s="38">
        <f t="shared" si="7"/>
        <v>64.840630034041581</v>
      </c>
      <c r="M16" s="38">
        <f t="shared" si="7"/>
        <v>81.321005788211579</v>
      </c>
      <c r="N16" s="29"/>
      <c r="O16" s="29"/>
      <c r="P16" s="29"/>
    </row>
    <row r="17" spans="4:16" x14ac:dyDescent="0.2">
      <c r="D17" s="29"/>
      <c r="E17" s="29" t="s">
        <v>118</v>
      </c>
      <c r="F17" s="29"/>
      <c r="G17" s="29"/>
      <c r="H17" s="38">
        <f>H64</f>
        <v>26.460159999999998</v>
      </c>
      <c r="I17" s="38">
        <f t="shared" ref="I17:M17" si="8">I64</f>
        <v>33.058458399999992</v>
      </c>
      <c r="J17" s="38">
        <f t="shared" si="8"/>
        <v>51.341634415999998</v>
      </c>
      <c r="K17" s="38">
        <f t="shared" si="8"/>
        <v>73.749830075839995</v>
      </c>
      <c r="L17" s="38">
        <f t="shared" si="8"/>
        <v>101.74063003404157</v>
      </c>
      <c r="M17" s="38">
        <f t="shared" si="8"/>
        <v>126.72600578821158</v>
      </c>
      <c r="N17" s="29"/>
      <c r="O17" s="29"/>
      <c r="P17" s="29"/>
    </row>
    <row r="18" spans="4:16" x14ac:dyDescent="0.2">
      <c r="D18" s="29"/>
      <c r="E18" s="29"/>
      <c r="F18" s="29"/>
      <c r="G18" s="29"/>
      <c r="H18" s="31"/>
      <c r="I18" s="31"/>
      <c r="J18" s="31"/>
      <c r="K18" s="31"/>
      <c r="L18" s="31"/>
      <c r="M18" s="31"/>
      <c r="N18" s="29"/>
      <c r="O18" s="29"/>
      <c r="P18" s="29"/>
    </row>
    <row r="19" spans="4:16" x14ac:dyDescent="0.2">
      <c r="D19" s="29"/>
      <c r="E19" s="36" t="s">
        <v>2</v>
      </c>
      <c r="F19" s="36"/>
      <c r="G19" s="36"/>
      <c r="H19" s="37" cm="1">
        <f t="array" ref="H19">INDEX(H20:H21,LBO!$G$11+1)</f>
        <v>7.9380479999999993</v>
      </c>
      <c r="I19" s="37" cm="1">
        <f t="array" ref="I19">INDEX(I20:I21,LBO!$G$11+1)</f>
        <v>9.917537519999998</v>
      </c>
      <c r="J19" s="37" cm="1">
        <f t="array" ref="J19">INDEX(J20:J21,LBO!$G$11+1)</f>
        <v>12.402490324799999</v>
      </c>
      <c r="K19" s="37" cm="1">
        <f t="array" ref="K19">INDEX(K20:K21,LBO!$G$11+1)</f>
        <v>15.524949022751997</v>
      </c>
      <c r="L19" s="37" cm="1">
        <f t="array" ref="L19">INDEX(L20:L21,LBO!$G$11+1)</f>
        <v>19.452189010212475</v>
      </c>
      <c r="M19" s="37" cm="1">
        <f t="array" ref="M19">INDEX(M20:M21,LBO!$G$11+1)</f>
        <v>24.396301736463474</v>
      </c>
      <c r="N19" s="29"/>
      <c r="O19" s="29"/>
      <c r="P19" s="29"/>
    </row>
    <row r="20" spans="4:16" x14ac:dyDescent="0.2">
      <c r="D20" s="29"/>
      <c r="E20" s="29" t="s">
        <v>117</v>
      </c>
      <c r="F20" s="29"/>
      <c r="G20" s="29"/>
      <c r="H20" s="38">
        <f>H66</f>
        <v>7.9380479999999993</v>
      </c>
      <c r="I20" s="38">
        <f t="shared" ref="I20:M20" si="9">I66</f>
        <v>9.917537519999998</v>
      </c>
      <c r="J20" s="38">
        <f t="shared" si="9"/>
        <v>12.402490324799999</v>
      </c>
      <c r="K20" s="38">
        <f t="shared" si="9"/>
        <v>15.524949022751997</v>
      </c>
      <c r="L20" s="38">
        <f t="shared" si="9"/>
        <v>19.452189010212475</v>
      </c>
      <c r="M20" s="38">
        <f t="shared" si="9"/>
        <v>24.396301736463474</v>
      </c>
      <c r="N20" s="29"/>
      <c r="O20" s="29"/>
      <c r="P20" s="29"/>
    </row>
    <row r="21" spans="4:16" x14ac:dyDescent="0.2">
      <c r="D21" s="29"/>
      <c r="E21" s="29" t="s">
        <v>118</v>
      </c>
      <c r="F21" s="29"/>
      <c r="G21" s="29"/>
      <c r="H21" s="38">
        <f>H70</f>
        <v>7.9380479999999993</v>
      </c>
      <c r="I21" s="38">
        <f t="shared" ref="I21:M21" si="10">I70</f>
        <v>9.917537519999998</v>
      </c>
      <c r="J21" s="38">
        <f t="shared" si="10"/>
        <v>14.402490324799999</v>
      </c>
      <c r="K21" s="38">
        <f t="shared" si="10"/>
        <v>21.124949022751998</v>
      </c>
      <c r="L21" s="38">
        <f t="shared" si="10"/>
        <v>29.522189010212475</v>
      </c>
      <c r="M21" s="38">
        <f t="shared" si="10"/>
        <v>38.017801736463475</v>
      </c>
      <c r="N21" s="29"/>
      <c r="O21" s="29"/>
      <c r="P21" s="29"/>
    </row>
    <row r="22" spans="4:16" x14ac:dyDescent="0.2">
      <c r="D22" s="29"/>
      <c r="E22" s="29"/>
      <c r="F22" s="29"/>
      <c r="G22" s="29"/>
      <c r="H22" s="31"/>
      <c r="I22" s="31"/>
      <c r="J22" s="31"/>
      <c r="K22" s="31"/>
      <c r="L22" s="31"/>
      <c r="M22" s="31"/>
      <c r="N22" s="29"/>
      <c r="O22" s="29"/>
      <c r="P22" s="29"/>
    </row>
    <row r="23" spans="4:16" x14ac:dyDescent="0.2">
      <c r="D23" s="29"/>
      <c r="E23" s="36" t="s">
        <v>42</v>
      </c>
      <c r="F23" s="36"/>
      <c r="G23" s="36"/>
      <c r="H23" s="37" cm="1">
        <f t="array" ref="H23">INDEX(H24:H25,LBO!$G$11+1)</f>
        <v>-0.66150399999999998</v>
      </c>
      <c r="I23" s="37" cm="1">
        <f t="array" ref="I23">INDEX(I24:I25,LBO!$G$11+1)</f>
        <v>-0.82646145999999987</v>
      </c>
      <c r="J23" s="37" cm="1">
        <f t="array" ref="J23">INDEX(J24:J25,LBO!$G$11+1)</f>
        <v>-1.0335408604</v>
      </c>
      <c r="K23" s="37" cm="1">
        <f t="array" ref="K23">INDEX(K24:K25,LBO!$G$11+1)</f>
        <v>-1.2937457518960001</v>
      </c>
      <c r="L23" s="37" cm="1">
        <f t="array" ref="L23">INDEX(L24:L25,LBO!$G$11+1)</f>
        <v>-1.6210157508510397</v>
      </c>
      <c r="M23" s="37" cm="1">
        <f t="array" ref="M23">INDEX(M24:M25,LBO!$G$11+1)</f>
        <v>-2.0330251447052894</v>
      </c>
      <c r="N23" s="29"/>
      <c r="O23" s="29"/>
      <c r="P23" s="29"/>
    </row>
    <row r="24" spans="4:16" x14ac:dyDescent="0.2">
      <c r="D24" s="29"/>
      <c r="E24" s="29" t="s">
        <v>117</v>
      </c>
      <c r="F24" s="29"/>
      <c r="G24" s="29"/>
      <c r="H24" s="38">
        <f>H73</f>
        <v>-0.66150399999999998</v>
      </c>
      <c r="I24" s="38">
        <f t="shared" ref="I24:M24" si="11">I73</f>
        <v>-0.82646145999999987</v>
      </c>
      <c r="J24" s="38">
        <f t="shared" si="11"/>
        <v>-1.0335408604</v>
      </c>
      <c r="K24" s="38">
        <f t="shared" si="11"/>
        <v>-1.2937457518960001</v>
      </c>
      <c r="L24" s="38">
        <f t="shared" si="11"/>
        <v>-1.6210157508510397</v>
      </c>
      <c r="M24" s="38">
        <f t="shared" si="11"/>
        <v>-2.0330251447052894</v>
      </c>
      <c r="N24" s="29"/>
      <c r="O24" s="29"/>
      <c r="P24" s="29"/>
    </row>
    <row r="25" spans="4:16" x14ac:dyDescent="0.2">
      <c r="D25" s="29"/>
      <c r="E25" s="29" t="s">
        <v>118</v>
      </c>
      <c r="F25" s="29"/>
      <c r="G25" s="29"/>
      <c r="H25" s="38">
        <f>H77</f>
        <v>-0.66150399999999998</v>
      </c>
      <c r="I25" s="38">
        <f t="shared" ref="I25:M25" si="12">I77</f>
        <v>-0.82646145999999987</v>
      </c>
      <c r="J25" s="38">
        <f t="shared" si="12"/>
        <v>-1.6335408604000001</v>
      </c>
      <c r="K25" s="38">
        <f t="shared" si="12"/>
        <v>-2.6137457518959999</v>
      </c>
      <c r="L25" s="38">
        <f t="shared" si="12"/>
        <v>-3.8350157508510399</v>
      </c>
      <c r="M25" s="38">
        <f t="shared" si="12"/>
        <v>-4.7573251447052893</v>
      </c>
      <c r="N25" s="29"/>
      <c r="O25" s="29"/>
      <c r="P25" s="29"/>
    </row>
    <row r="26" spans="4:16" x14ac:dyDescent="0.2">
      <c r="D26" s="29"/>
      <c r="E26" s="29"/>
      <c r="F26" s="29"/>
      <c r="G26" s="29"/>
      <c r="H26" s="31"/>
      <c r="I26" s="31"/>
      <c r="J26" s="31"/>
      <c r="K26" s="31"/>
      <c r="L26" s="31"/>
      <c r="M26" s="31"/>
      <c r="N26" s="29"/>
      <c r="O26" s="29"/>
      <c r="P26" s="29"/>
    </row>
    <row r="27" spans="4:16" x14ac:dyDescent="0.2">
      <c r="D27" s="29"/>
      <c r="E27" s="36" t="s">
        <v>119</v>
      </c>
      <c r="F27" s="36"/>
      <c r="G27" s="36"/>
      <c r="H27" s="37" cm="1">
        <f t="array" ref="H27">INDEX(H28:H29,LBO!$G$11+1)</f>
        <v>-0.71442432</v>
      </c>
      <c r="I27" s="37" cm="1">
        <f t="array" ref="I27">INDEX(I28:I29,LBO!$G$11+1)</f>
        <v>-2.3471505463999991</v>
      </c>
      <c r="J27" s="37" cm="1">
        <f t="array" ref="J27">INDEX(J28:J29,LBO!$G$11+1)</f>
        <v>-1.901715183136</v>
      </c>
      <c r="K27" s="37" cm="1">
        <f t="array" ref="K27">INDEX(K28:K29,LBO!$G$11+1)</f>
        <v>-1.0867464315926401</v>
      </c>
      <c r="L27" s="37" cm="1">
        <f t="array" ref="L27">INDEX(L28:L29,LBO!$G$11+1)</f>
        <v>-1.102290710578707</v>
      </c>
      <c r="M27" s="37" cm="1">
        <f t="array" ref="M27">INDEX(M28:M29,LBO!$G$11+1)</f>
        <v>-1.382457098399597</v>
      </c>
      <c r="N27" s="29"/>
      <c r="O27" s="29"/>
      <c r="P27" s="29"/>
    </row>
    <row r="28" spans="4:16" x14ac:dyDescent="0.2">
      <c r="D28" s="29"/>
      <c r="E28" s="29" t="s">
        <v>117</v>
      </c>
      <c r="F28" s="29"/>
      <c r="G28" s="29"/>
      <c r="H28" s="38">
        <f>H79</f>
        <v>-0.71442432</v>
      </c>
      <c r="I28" s="38">
        <f t="shared" ref="I28:M28" si="13">I79</f>
        <v>-2.3471505463999991</v>
      </c>
      <c r="J28" s="38">
        <f t="shared" si="13"/>
        <v>-1.901715183136</v>
      </c>
      <c r="K28" s="38">
        <f t="shared" si="13"/>
        <v>-1.0867464315926401</v>
      </c>
      <c r="L28" s="38">
        <f t="shared" si="13"/>
        <v>-1.102290710578707</v>
      </c>
      <c r="M28" s="38">
        <f t="shared" si="13"/>
        <v>-1.382457098399597</v>
      </c>
      <c r="N28" s="29"/>
      <c r="O28" s="29"/>
      <c r="P28" s="29"/>
    </row>
    <row r="29" spans="4:16" x14ac:dyDescent="0.2">
      <c r="D29" s="29"/>
      <c r="E29" s="29" t="s">
        <v>118</v>
      </c>
      <c r="F29" s="29"/>
      <c r="G29" s="29"/>
      <c r="H29" s="38">
        <f>H83</f>
        <v>-0.71442432</v>
      </c>
      <c r="I29" s="38">
        <f t="shared" ref="I29:M29" si="14">I83</f>
        <v>-2.3471505463999991</v>
      </c>
      <c r="J29" s="38">
        <f t="shared" si="14"/>
        <v>-2.2017151831359998</v>
      </c>
      <c r="K29" s="38">
        <f t="shared" si="14"/>
        <v>-1.74674643159264</v>
      </c>
      <c r="L29" s="38">
        <f t="shared" si="14"/>
        <v>-2.2092907105787067</v>
      </c>
      <c r="M29" s="38">
        <f t="shared" si="14"/>
        <v>-2.7446070983995967</v>
      </c>
      <c r="N29" s="29"/>
      <c r="O29" s="29"/>
      <c r="P29" s="29"/>
    </row>
    <row r="30" spans="4:16" x14ac:dyDescent="0.2">
      <c r="D30" s="29"/>
      <c r="E30" s="29"/>
      <c r="F30" s="29"/>
      <c r="G30" s="29"/>
      <c r="H30" s="31"/>
      <c r="I30" s="31"/>
      <c r="J30" s="31"/>
      <c r="K30" s="31"/>
      <c r="L30" s="31"/>
      <c r="M30" s="31"/>
      <c r="N30" s="29"/>
      <c r="O30" s="29"/>
      <c r="P30" s="29"/>
    </row>
    <row r="31" spans="4:16" x14ac:dyDescent="0.2">
      <c r="D31" s="29"/>
      <c r="E31" s="36" t="s">
        <v>120</v>
      </c>
      <c r="F31" s="36"/>
      <c r="G31" s="36"/>
      <c r="H31" s="37" cm="1">
        <f t="array" ref="H31">INDEX(H32:H33,LBO!$G$11+1)</f>
        <v>3.7473407999999999</v>
      </c>
      <c r="I31" s="37" cm="1">
        <f t="array" ref="I31">INDEX(I32:I33,LBO!$G$11+1)</f>
        <v>2.2445598847999992</v>
      </c>
      <c r="J31" s="37" cm="1">
        <f t="array" ref="J31">INDEX(J32:J33,LBO!$G$11+1)</f>
        <v>2.3770487796000008</v>
      </c>
      <c r="K31" s="37" cm="1">
        <f t="array" ref="K31">INDEX(K32:K33,LBO!$G$11+1)</f>
        <v>3.7937507478211181</v>
      </c>
      <c r="L31" s="37" cm="1">
        <f t="array" ref="L31">INDEX(L32:L33,LBO!$G$11+1)</f>
        <v>4.7433732082296487</v>
      </c>
      <c r="M31" s="37" cm="1">
        <f t="array" ref="M31">INDEX(M32:M33,LBO!$G$11+1)</f>
        <v>5.0594753565301893</v>
      </c>
      <c r="N31" s="29"/>
      <c r="O31" s="29"/>
      <c r="P31" s="29"/>
    </row>
    <row r="32" spans="4:16" x14ac:dyDescent="0.2">
      <c r="D32" s="29"/>
      <c r="E32" s="29" t="s">
        <v>117</v>
      </c>
      <c r="F32" s="29"/>
      <c r="G32" s="29"/>
      <c r="H32" s="38">
        <f>H85</f>
        <v>3.7473407999999999</v>
      </c>
      <c r="I32" s="38">
        <f t="shared" ref="I32:M32" si="15">I85</f>
        <v>2.2445598847999992</v>
      </c>
      <c r="J32" s="38">
        <f t="shared" si="15"/>
        <v>2.3770487796000008</v>
      </c>
      <c r="K32" s="38">
        <f t="shared" si="15"/>
        <v>3.7937507478211181</v>
      </c>
      <c r="L32" s="38">
        <f t="shared" si="15"/>
        <v>4.7433732082296487</v>
      </c>
      <c r="M32" s="38">
        <f t="shared" si="15"/>
        <v>5.0594753565301893</v>
      </c>
      <c r="N32" s="29"/>
      <c r="O32" s="29"/>
      <c r="P32" s="29"/>
    </row>
    <row r="33" spans="1:17" x14ac:dyDescent="0.2">
      <c r="D33" s="29"/>
      <c r="E33" s="29" t="s">
        <v>118</v>
      </c>
      <c r="F33" s="29"/>
      <c r="G33" s="29"/>
      <c r="H33" s="38">
        <f>H89</f>
        <v>3.7473407999999999</v>
      </c>
      <c r="I33" s="38">
        <f t="shared" ref="I33:M33" si="16">I89</f>
        <v>2.2445598847999992</v>
      </c>
      <c r="J33" s="38">
        <f t="shared" si="16"/>
        <v>2.4770487796000009</v>
      </c>
      <c r="K33" s="38">
        <f t="shared" si="16"/>
        <v>4.0137507478211178</v>
      </c>
      <c r="L33" s="38">
        <f t="shared" si="16"/>
        <v>5.1123732082296485</v>
      </c>
      <c r="M33" s="38">
        <f t="shared" si="16"/>
        <v>5.5135253565301889</v>
      </c>
      <c r="N33" s="29"/>
      <c r="O33" s="29"/>
      <c r="P33" s="29"/>
    </row>
    <row r="34" spans="1:17" x14ac:dyDescent="0.2">
      <c r="D34" s="29"/>
      <c r="E34" s="29"/>
      <c r="F34" s="29"/>
      <c r="G34" s="29"/>
      <c r="H34" s="38"/>
      <c r="I34" s="38"/>
      <c r="J34" s="38"/>
      <c r="K34" s="38"/>
      <c r="L34" s="38"/>
      <c r="M34" s="38"/>
      <c r="N34" s="29"/>
      <c r="O34" s="29"/>
      <c r="P34" s="29"/>
    </row>
    <row r="35" spans="1:17" x14ac:dyDescent="0.2">
      <c r="D35" s="29"/>
      <c r="E35" s="36" t="s">
        <v>121</v>
      </c>
      <c r="F35" s="36"/>
      <c r="G35" s="36"/>
      <c r="H35" s="37">
        <f>H91</f>
        <v>0</v>
      </c>
      <c r="I35" s="37">
        <f t="shared" ref="I35:M35" si="17">I91</f>
        <v>0</v>
      </c>
      <c r="J35" s="37">
        <f t="shared" si="17"/>
        <v>-16</v>
      </c>
      <c r="K35" s="37">
        <f t="shared" si="17"/>
        <v>-16</v>
      </c>
      <c r="L35" s="37">
        <f t="shared" si="17"/>
        <v>-16</v>
      </c>
      <c r="M35" s="37">
        <f t="shared" si="17"/>
        <v>0</v>
      </c>
      <c r="N35" s="29"/>
      <c r="O35" s="29"/>
      <c r="P35" s="29"/>
    </row>
    <row r="36" spans="1:17" x14ac:dyDescent="0.2">
      <c r="D36" s="29"/>
      <c r="E36" s="29"/>
      <c r="F36" s="29"/>
      <c r="G36" s="29"/>
      <c r="H36" s="31"/>
      <c r="I36" s="31"/>
      <c r="J36" s="31"/>
      <c r="K36" s="31"/>
      <c r="L36" s="31"/>
      <c r="M36" s="31"/>
      <c r="N36" s="29"/>
      <c r="O36" s="29"/>
      <c r="P36" s="29"/>
    </row>
    <row r="37" spans="1:17" x14ac:dyDescent="0.2">
      <c r="A37" s="169"/>
      <c r="B37" s="169"/>
      <c r="C37" s="169"/>
      <c r="D37" s="167">
        <v>2</v>
      </c>
      <c r="E37" s="115" t="s">
        <v>122</v>
      </c>
      <c r="F37" s="115"/>
      <c r="G37" s="115"/>
      <c r="H37" s="168"/>
      <c r="I37" s="168"/>
      <c r="J37" s="168"/>
      <c r="K37" s="168"/>
      <c r="L37" s="168"/>
      <c r="M37" s="168"/>
      <c r="N37" s="115"/>
      <c r="O37" s="115"/>
      <c r="P37" s="115"/>
      <c r="Q37" s="169"/>
    </row>
    <row r="38" spans="1:17" x14ac:dyDescent="0.2">
      <c r="D38" s="29"/>
      <c r="E38" s="29"/>
      <c r="F38" s="29"/>
      <c r="G38" s="29"/>
      <c r="H38" s="31"/>
      <c r="I38" s="31"/>
      <c r="J38" s="31"/>
      <c r="K38" s="31"/>
      <c r="L38" s="31"/>
      <c r="M38" s="31"/>
      <c r="N38" s="29"/>
      <c r="O38" s="29"/>
      <c r="P38" s="29"/>
    </row>
    <row r="39" spans="1:17" x14ac:dyDescent="0.2">
      <c r="A39" s="173"/>
      <c r="B39" s="173"/>
      <c r="C39" s="173"/>
      <c r="D39" s="172" t="s">
        <v>123</v>
      </c>
      <c r="E39" s="171" t="s">
        <v>124</v>
      </c>
      <c r="F39" s="171"/>
      <c r="G39" s="171"/>
      <c r="H39" s="172"/>
      <c r="I39" s="172"/>
      <c r="J39" s="172"/>
      <c r="K39" s="172"/>
      <c r="L39" s="172"/>
      <c r="M39" s="172"/>
      <c r="N39" s="171"/>
      <c r="O39" s="171"/>
      <c r="P39" s="171"/>
      <c r="Q39" s="173"/>
    </row>
    <row r="40" spans="1:17" x14ac:dyDescent="0.2">
      <c r="D40" s="31"/>
      <c r="E40" s="29"/>
      <c r="F40" s="29"/>
      <c r="G40" s="29"/>
      <c r="H40" s="31"/>
      <c r="I40" s="31"/>
      <c r="J40" s="31"/>
      <c r="K40" s="31"/>
      <c r="L40" s="31"/>
      <c r="M40" s="31"/>
      <c r="N40" s="29"/>
      <c r="O40" s="29"/>
      <c r="P40" s="29"/>
    </row>
    <row r="41" spans="1:17" x14ac:dyDescent="0.2">
      <c r="D41" s="31"/>
      <c r="E41" s="42" t="s">
        <v>0</v>
      </c>
      <c r="F41" s="29"/>
      <c r="G41" s="29"/>
      <c r="H41" s="43">
        <f>Financials!J16</f>
        <v>26.460159999999998</v>
      </c>
      <c r="I41" s="43">
        <f>Financials!K16</f>
        <v>33.058458399999992</v>
      </c>
      <c r="J41" s="43">
        <f>Financials!L16</f>
        <v>41.341634415999998</v>
      </c>
      <c r="K41" s="43">
        <f>Financials!M16</f>
        <v>51.749830075839995</v>
      </c>
      <c r="L41" s="43">
        <f>Financials!N16</f>
        <v>64.840630034041581</v>
      </c>
      <c r="M41" s="43">
        <f>Financials!O16</f>
        <v>81.321005788211579</v>
      </c>
      <c r="N41" s="29"/>
      <c r="O41" s="29"/>
      <c r="P41" s="29"/>
    </row>
    <row r="42" spans="1:17" x14ac:dyDescent="0.2">
      <c r="D42" s="31"/>
      <c r="E42" s="44" t="s">
        <v>125</v>
      </c>
      <c r="F42" s="29"/>
      <c r="G42" s="29"/>
      <c r="H42" s="31"/>
      <c r="I42" s="45">
        <f>I41/H41-1</f>
        <v>0.24936729029605242</v>
      </c>
      <c r="J42" s="45">
        <f t="shared" ref="J42:M42" si="18">J41/I41-1</f>
        <v>0.25056147252165895</v>
      </c>
      <c r="K42" s="45">
        <f t="shared" si="18"/>
        <v>0.25176062356673135</v>
      </c>
      <c r="L42" s="45">
        <f t="shared" si="18"/>
        <v>0.25296314865221503</v>
      </c>
      <c r="M42" s="45">
        <f t="shared" si="18"/>
        <v>0.25416742165394957</v>
      </c>
      <c r="N42" s="29"/>
      <c r="O42" s="29"/>
      <c r="P42" s="29"/>
    </row>
    <row r="43" spans="1:17" x14ac:dyDescent="0.2">
      <c r="D43" s="31"/>
      <c r="E43" s="29"/>
      <c r="F43" s="29"/>
      <c r="G43" s="29"/>
      <c r="H43" s="31"/>
      <c r="I43" s="31"/>
      <c r="J43" s="31"/>
      <c r="K43" s="31"/>
      <c r="L43" s="31"/>
      <c r="M43" s="31"/>
      <c r="N43" s="29"/>
      <c r="O43" s="29"/>
      <c r="P43" s="29"/>
    </row>
    <row r="44" spans="1:17" x14ac:dyDescent="0.2">
      <c r="D44" s="31"/>
      <c r="E44" s="42" t="s">
        <v>2</v>
      </c>
      <c r="F44" s="29"/>
      <c r="G44" s="29"/>
      <c r="H44" s="46">
        <f>Financials!J19</f>
        <v>7.9380479999999993</v>
      </c>
      <c r="I44" s="46">
        <f>Financials!K19</f>
        <v>9.917537519999998</v>
      </c>
      <c r="J44" s="46">
        <f>Financials!L19</f>
        <v>12.402490324799999</v>
      </c>
      <c r="K44" s="46">
        <f>Financials!M19</f>
        <v>15.524949022751997</v>
      </c>
      <c r="L44" s="46">
        <f>Financials!N19</f>
        <v>19.452189010212475</v>
      </c>
      <c r="M44" s="46">
        <f>Financials!O19</f>
        <v>24.396301736463474</v>
      </c>
      <c r="N44" s="29"/>
      <c r="O44" s="29"/>
      <c r="P44" s="29"/>
    </row>
    <row r="45" spans="1:17" x14ac:dyDescent="0.2">
      <c r="D45" s="31"/>
      <c r="E45" s="44" t="s">
        <v>126</v>
      </c>
      <c r="F45" s="29"/>
      <c r="G45" s="29"/>
      <c r="H45" s="45">
        <f>H44/H$41</f>
        <v>0.3</v>
      </c>
      <c r="I45" s="45">
        <f t="shared" ref="I45:M45" si="19">I44/I$41</f>
        <v>0.3</v>
      </c>
      <c r="J45" s="45">
        <f t="shared" si="19"/>
        <v>0.3</v>
      </c>
      <c r="K45" s="45">
        <f t="shared" si="19"/>
        <v>0.3</v>
      </c>
      <c r="L45" s="45">
        <f t="shared" si="19"/>
        <v>0.3</v>
      </c>
      <c r="M45" s="45">
        <f t="shared" si="19"/>
        <v>0.3</v>
      </c>
      <c r="N45" s="29"/>
      <c r="O45" s="29"/>
      <c r="P45" s="29"/>
    </row>
    <row r="46" spans="1:17" x14ac:dyDescent="0.2">
      <c r="D46" s="31"/>
      <c r="E46" s="29"/>
      <c r="F46" s="29"/>
      <c r="G46" s="29"/>
      <c r="H46" s="31"/>
      <c r="I46" s="31"/>
      <c r="J46" s="31"/>
      <c r="K46" s="31"/>
      <c r="L46" s="31"/>
      <c r="M46" s="31"/>
      <c r="N46" s="29"/>
      <c r="O46" s="29"/>
      <c r="P46" s="29"/>
    </row>
    <row r="47" spans="1:17" x14ac:dyDescent="0.2">
      <c r="D47" s="31"/>
      <c r="E47" s="42" t="s">
        <v>127</v>
      </c>
      <c r="F47" s="29"/>
      <c r="G47" s="29"/>
      <c r="H47" s="43">
        <f>Financials!J22</f>
        <v>-0.66150399999999998</v>
      </c>
      <c r="I47" s="43">
        <f>Financials!K22</f>
        <v>-0.82646145999999987</v>
      </c>
      <c r="J47" s="43">
        <f>Financials!L22</f>
        <v>-1.0335408604</v>
      </c>
      <c r="K47" s="43">
        <f>Financials!M22</f>
        <v>-1.2937457518960001</v>
      </c>
      <c r="L47" s="43">
        <f>Financials!N22</f>
        <v>-1.6210157508510397</v>
      </c>
      <c r="M47" s="43">
        <f>Financials!O22</f>
        <v>-2.0330251447052894</v>
      </c>
      <c r="N47" s="29"/>
      <c r="O47" s="29"/>
      <c r="P47" s="29"/>
    </row>
    <row r="48" spans="1:17" x14ac:dyDescent="0.2">
      <c r="D48" s="31"/>
      <c r="E48" s="44" t="s">
        <v>128</v>
      </c>
      <c r="F48" s="29"/>
      <c r="G48" s="29"/>
      <c r="H48" s="45">
        <f>-H47/H$41</f>
        <v>2.5000000000000001E-2</v>
      </c>
      <c r="I48" s="45">
        <f t="shared" ref="I48:M48" si="20">-I47/I$41</f>
        <v>2.5000000000000001E-2</v>
      </c>
      <c r="J48" s="45">
        <f t="shared" si="20"/>
        <v>2.5000000000000001E-2</v>
      </c>
      <c r="K48" s="45">
        <f t="shared" si="20"/>
        <v>2.5000000000000005E-2</v>
      </c>
      <c r="L48" s="45">
        <f t="shared" si="20"/>
        <v>2.5000000000000001E-2</v>
      </c>
      <c r="M48" s="45">
        <f t="shared" si="20"/>
        <v>2.4999999999999998E-2</v>
      </c>
      <c r="N48" s="29"/>
      <c r="O48" s="29"/>
      <c r="P48" s="29"/>
    </row>
    <row r="49" spans="1:17" x14ac:dyDescent="0.2">
      <c r="D49" s="31"/>
      <c r="E49" s="29"/>
      <c r="F49" s="29"/>
      <c r="G49" s="29"/>
      <c r="H49" s="31"/>
      <c r="I49" s="31"/>
      <c r="J49" s="31"/>
      <c r="K49" s="31"/>
      <c r="L49" s="31"/>
      <c r="M49" s="31"/>
      <c r="N49" s="29"/>
      <c r="O49" s="29"/>
      <c r="P49" s="29"/>
    </row>
    <row r="50" spans="1:17" x14ac:dyDescent="0.2">
      <c r="A50" s="173"/>
      <c r="B50" s="173"/>
      <c r="C50" s="173"/>
      <c r="D50" s="172" t="s">
        <v>123</v>
      </c>
      <c r="E50" s="171" t="s">
        <v>88</v>
      </c>
      <c r="F50" s="171"/>
      <c r="G50" s="171"/>
      <c r="H50" s="172"/>
      <c r="I50" s="172"/>
      <c r="J50" s="172"/>
      <c r="K50" s="172"/>
      <c r="L50" s="172"/>
      <c r="M50" s="172"/>
      <c r="N50" s="171"/>
      <c r="O50" s="171"/>
      <c r="P50" s="171"/>
      <c r="Q50" s="173"/>
    </row>
    <row r="51" spans="1:17" x14ac:dyDescent="0.2">
      <c r="D51" s="29"/>
      <c r="E51" s="29"/>
      <c r="F51" s="29"/>
      <c r="G51" s="29"/>
      <c r="H51" s="31"/>
      <c r="I51" s="31"/>
      <c r="J51" s="31"/>
      <c r="K51" s="31"/>
      <c r="L51" s="31"/>
      <c r="M51" s="31"/>
      <c r="N51" s="29"/>
      <c r="O51" s="29"/>
      <c r="P51" s="29"/>
    </row>
    <row r="52" spans="1:17" x14ac:dyDescent="0.2">
      <c r="D52" s="29"/>
      <c r="E52" s="29" t="s">
        <v>119</v>
      </c>
      <c r="F52" s="29"/>
      <c r="G52" s="29"/>
      <c r="H52" s="43">
        <f>Financials!J36</f>
        <v>-0.71442432</v>
      </c>
      <c r="I52" s="43">
        <f>Financials!K36</f>
        <v>-2.3471505463999991</v>
      </c>
      <c r="J52" s="43">
        <f>Financials!L36</f>
        <v>-1.901715183136</v>
      </c>
      <c r="K52" s="43">
        <f>Financials!M36</f>
        <v>-1.0867464315926401</v>
      </c>
      <c r="L52" s="43">
        <f>Financials!N36</f>
        <v>-1.102290710578707</v>
      </c>
      <c r="M52" s="43">
        <f>Financials!O36</f>
        <v>-1.382457098399597</v>
      </c>
      <c r="N52" s="29"/>
      <c r="O52" s="29"/>
      <c r="P52" s="29"/>
    </row>
    <row r="53" spans="1:17" x14ac:dyDescent="0.2">
      <c r="D53" s="29"/>
      <c r="E53" s="44" t="s">
        <v>128</v>
      </c>
      <c r="F53" s="29"/>
      <c r="G53" s="29"/>
      <c r="H53" s="45">
        <f>-H52/H$41</f>
        <v>2.7000000000000003E-2</v>
      </c>
      <c r="I53" s="45">
        <f t="shared" ref="I53:M53" si="21">-I52/I$41</f>
        <v>7.0999999999999994E-2</v>
      </c>
      <c r="J53" s="45">
        <f t="shared" si="21"/>
        <v>4.5999999999999999E-2</v>
      </c>
      <c r="K53" s="45">
        <f t="shared" si="21"/>
        <v>2.1000000000000005E-2</v>
      </c>
      <c r="L53" s="45">
        <f t="shared" si="21"/>
        <v>1.7000000000000001E-2</v>
      </c>
      <c r="M53" s="45">
        <f t="shared" si="21"/>
        <v>1.7000000000000001E-2</v>
      </c>
      <c r="N53" s="29"/>
      <c r="O53" s="29"/>
      <c r="P53" s="29"/>
    </row>
    <row r="54" spans="1:17" x14ac:dyDescent="0.2">
      <c r="D54" s="29"/>
      <c r="E54" s="29"/>
      <c r="F54" s="29"/>
      <c r="G54" s="29"/>
      <c r="H54" s="31"/>
      <c r="I54" s="31"/>
      <c r="J54" s="31"/>
      <c r="K54" s="31"/>
      <c r="L54" s="31"/>
      <c r="M54" s="31"/>
      <c r="N54" s="29"/>
      <c r="O54" s="29"/>
      <c r="P54" s="29"/>
    </row>
    <row r="55" spans="1:17" x14ac:dyDescent="0.2">
      <c r="D55" s="29"/>
      <c r="E55" s="29" t="s">
        <v>129</v>
      </c>
      <c r="F55" s="29"/>
      <c r="G55" s="29"/>
      <c r="H55" s="43">
        <f>Financials!J34</f>
        <v>3.7473407999999999</v>
      </c>
      <c r="I55" s="43">
        <f>Financials!K34</f>
        <v>2.2445598847999992</v>
      </c>
      <c r="J55" s="43">
        <f>Financials!L34</f>
        <v>2.3770487796000008</v>
      </c>
      <c r="K55" s="43">
        <f>Financials!M34</f>
        <v>3.7937507478211181</v>
      </c>
      <c r="L55" s="43">
        <f>Financials!N34</f>
        <v>4.7433732082296487</v>
      </c>
      <c r="M55" s="43">
        <f>Financials!O34</f>
        <v>5.0594753565301893</v>
      </c>
      <c r="N55" s="29"/>
      <c r="O55" s="29"/>
      <c r="P55" s="29"/>
    </row>
    <row r="56" spans="1:17" x14ac:dyDescent="0.2">
      <c r="D56" s="29"/>
      <c r="E56" s="44" t="s">
        <v>128</v>
      </c>
      <c r="F56" s="29"/>
      <c r="G56" s="29"/>
      <c r="H56" s="45">
        <f>H55/H$41</f>
        <v>0.14162200077399381</v>
      </c>
      <c r="I56" s="45">
        <f t="shared" ref="I56:M56" si="22">I55/I$41</f>
        <v>6.7896689483862918E-2</v>
      </c>
      <c r="J56" s="45">
        <f t="shared" si="22"/>
        <v>5.7497697253111935E-2</v>
      </c>
      <c r="K56" s="45">
        <f t="shared" si="22"/>
        <v>7.3309433910436636E-2</v>
      </c>
      <c r="L56" s="45">
        <f t="shared" si="22"/>
        <v>7.3154335572300264E-2</v>
      </c>
      <c r="M56" s="45">
        <f t="shared" si="22"/>
        <v>6.2216094199656576E-2</v>
      </c>
      <c r="N56" s="29"/>
      <c r="O56" s="29"/>
      <c r="P56" s="29"/>
    </row>
    <row r="57" spans="1:17" x14ac:dyDescent="0.2">
      <c r="D57" s="29"/>
      <c r="E57" s="29"/>
      <c r="F57" s="29"/>
      <c r="G57" s="29"/>
      <c r="H57" s="31"/>
      <c r="I57" s="31"/>
      <c r="J57" s="31"/>
      <c r="K57" s="31"/>
      <c r="L57" s="31"/>
      <c r="M57" s="31"/>
      <c r="N57" s="29"/>
      <c r="O57" s="29"/>
      <c r="P57" s="29"/>
    </row>
    <row r="58" spans="1:17" x14ac:dyDescent="0.2">
      <c r="A58" s="169"/>
      <c r="B58" s="169"/>
      <c r="C58" s="169"/>
      <c r="D58" s="167">
        <v>3</v>
      </c>
      <c r="E58" s="115" t="s">
        <v>130</v>
      </c>
      <c r="F58" s="115"/>
      <c r="G58" s="115"/>
      <c r="H58" s="168"/>
      <c r="I58" s="168"/>
      <c r="J58" s="168"/>
      <c r="K58" s="168"/>
      <c r="L58" s="168"/>
      <c r="M58" s="168"/>
      <c r="N58" s="115"/>
      <c r="O58" s="115"/>
      <c r="P58" s="115"/>
      <c r="Q58" s="169"/>
    </row>
    <row r="59" spans="1:17" x14ac:dyDescent="0.2">
      <c r="D59" s="29"/>
      <c r="E59" s="29"/>
      <c r="F59" s="29"/>
      <c r="G59" s="29"/>
      <c r="H59" s="31"/>
      <c r="I59" s="31"/>
      <c r="J59" s="31"/>
      <c r="K59" s="31"/>
      <c r="L59" s="31"/>
      <c r="M59" s="31"/>
      <c r="N59" s="29"/>
      <c r="O59" s="29"/>
      <c r="P59" s="29"/>
    </row>
    <row r="60" spans="1:17" x14ac:dyDescent="0.2">
      <c r="D60" s="29"/>
      <c r="E60" s="42" t="s">
        <v>131</v>
      </c>
      <c r="F60" s="29"/>
      <c r="G60" s="29"/>
      <c r="H60" s="47">
        <f>H41</f>
        <v>26.460159999999998</v>
      </c>
      <c r="I60" s="47">
        <f t="shared" ref="I60:M60" si="23">I41</f>
        <v>33.058458399999992</v>
      </c>
      <c r="J60" s="47">
        <f t="shared" si="23"/>
        <v>41.341634415999998</v>
      </c>
      <c r="K60" s="47">
        <f t="shared" si="23"/>
        <v>51.749830075839995</v>
      </c>
      <c r="L60" s="47">
        <f t="shared" si="23"/>
        <v>64.840630034041581</v>
      </c>
      <c r="M60" s="47">
        <f t="shared" si="23"/>
        <v>81.321005788211579</v>
      </c>
      <c r="N60" s="29"/>
      <c r="O60" s="29"/>
      <c r="P60" s="29"/>
    </row>
    <row r="61" spans="1:17" x14ac:dyDescent="0.2">
      <c r="D61" s="29"/>
      <c r="E61" s="29" t="s">
        <v>132</v>
      </c>
      <c r="F61" s="29"/>
      <c r="G61" s="29"/>
      <c r="H61" s="38"/>
      <c r="I61" s="38"/>
      <c r="J61" s="38">
        <f>J104</f>
        <v>10</v>
      </c>
      <c r="K61" s="38">
        <f t="shared" ref="K61:M61" si="24">K104</f>
        <v>12</v>
      </c>
      <c r="L61" s="38">
        <f t="shared" si="24"/>
        <v>14.399999999999999</v>
      </c>
      <c r="M61" s="38">
        <f t="shared" si="24"/>
        <v>17.279999999999998</v>
      </c>
      <c r="N61" s="29"/>
      <c r="O61" s="29"/>
      <c r="P61" s="29"/>
    </row>
    <row r="62" spans="1:17" x14ac:dyDescent="0.2">
      <c r="D62" s="29"/>
      <c r="E62" s="29" t="s">
        <v>133</v>
      </c>
      <c r="F62" s="29"/>
      <c r="G62" s="29"/>
      <c r="H62" s="38"/>
      <c r="I62" s="38"/>
      <c r="J62" s="38"/>
      <c r="K62" s="38">
        <f>K126</f>
        <v>10</v>
      </c>
      <c r="L62" s="38">
        <f t="shared" ref="L62:M62" si="25">L126</f>
        <v>12.5</v>
      </c>
      <c r="M62" s="38">
        <f t="shared" si="25"/>
        <v>15.625</v>
      </c>
      <c r="N62" s="29"/>
      <c r="O62" s="29"/>
      <c r="P62" s="29"/>
    </row>
    <row r="63" spans="1:17" x14ac:dyDescent="0.2">
      <c r="D63" s="29"/>
      <c r="E63" s="29" t="s">
        <v>134</v>
      </c>
      <c r="F63" s="29"/>
      <c r="G63" s="29"/>
      <c r="H63" s="38"/>
      <c r="I63" s="38"/>
      <c r="J63" s="38"/>
      <c r="K63" s="38"/>
      <c r="L63" s="38">
        <f>L148</f>
        <v>10</v>
      </c>
      <c r="M63" s="38">
        <f>M148</f>
        <v>12.5</v>
      </c>
      <c r="N63" s="29"/>
      <c r="O63" s="29"/>
      <c r="P63" s="29"/>
    </row>
    <row r="64" spans="1:17" x14ac:dyDescent="0.2">
      <c r="D64" s="29"/>
      <c r="E64" s="48" t="s">
        <v>135</v>
      </c>
      <c r="F64" s="49"/>
      <c r="G64" s="49"/>
      <c r="H64" s="50">
        <f>SUM(H60:H63)</f>
        <v>26.460159999999998</v>
      </c>
      <c r="I64" s="50">
        <f t="shared" ref="I64:L64" si="26">SUM(I60:I63)</f>
        <v>33.058458399999992</v>
      </c>
      <c r="J64" s="50">
        <f t="shared" si="26"/>
        <v>51.341634415999998</v>
      </c>
      <c r="K64" s="50">
        <f t="shared" si="26"/>
        <v>73.749830075839995</v>
      </c>
      <c r="L64" s="50">
        <f t="shared" si="26"/>
        <v>101.74063003404157</v>
      </c>
      <c r="M64" s="50">
        <f t="shared" ref="M64" si="27">SUM(M60:M63)</f>
        <v>126.72600578821158</v>
      </c>
      <c r="N64" s="29"/>
      <c r="O64" s="29"/>
      <c r="P64" s="29"/>
    </row>
    <row r="65" spans="4:16" x14ac:dyDescent="0.2">
      <c r="D65" s="29"/>
      <c r="E65" s="29"/>
      <c r="F65" s="29"/>
      <c r="G65" s="29"/>
      <c r="H65" s="31"/>
      <c r="I65" s="31"/>
      <c r="J65" s="31"/>
      <c r="K65" s="31"/>
      <c r="L65" s="31"/>
      <c r="M65" s="31"/>
      <c r="N65" s="29"/>
      <c r="O65" s="29"/>
      <c r="P65" s="29"/>
    </row>
    <row r="66" spans="4:16" x14ac:dyDescent="0.2">
      <c r="D66" s="29"/>
      <c r="E66" s="42" t="s">
        <v>136</v>
      </c>
      <c r="F66" s="29"/>
      <c r="G66" s="29"/>
      <c r="H66" s="47">
        <f>H44</f>
        <v>7.9380479999999993</v>
      </c>
      <c r="I66" s="47">
        <f t="shared" ref="I66:M66" si="28">I44</f>
        <v>9.917537519999998</v>
      </c>
      <c r="J66" s="47">
        <f t="shared" si="28"/>
        <v>12.402490324799999</v>
      </c>
      <c r="K66" s="47">
        <f t="shared" si="28"/>
        <v>15.524949022751997</v>
      </c>
      <c r="L66" s="47">
        <f t="shared" si="28"/>
        <v>19.452189010212475</v>
      </c>
      <c r="M66" s="47">
        <f t="shared" si="28"/>
        <v>24.396301736463474</v>
      </c>
      <c r="N66" s="29"/>
      <c r="O66" s="29"/>
      <c r="P66" s="29"/>
    </row>
    <row r="67" spans="4:16" x14ac:dyDescent="0.2">
      <c r="D67" s="29"/>
      <c r="E67" s="29" t="s">
        <v>132</v>
      </c>
      <c r="F67" s="29"/>
      <c r="G67" s="29"/>
      <c r="H67" s="38"/>
      <c r="I67" s="38"/>
      <c r="J67" s="38">
        <f>J106</f>
        <v>2</v>
      </c>
      <c r="K67" s="38">
        <f t="shared" ref="K67:M67" si="29">K106</f>
        <v>3.5999999999999996</v>
      </c>
      <c r="L67" s="38">
        <f t="shared" si="29"/>
        <v>4.3199999999999994</v>
      </c>
      <c r="M67" s="38">
        <f t="shared" si="29"/>
        <v>5.1839999999999993</v>
      </c>
      <c r="N67" s="29"/>
      <c r="O67" s="29"/>
      <c r="P67" s="29"/>
    </row>
    <row r="68" spans="4:16" x14ac:dyDescent="0.2">
      <c r="D68" s="29"/>
      <c r="E68" s="29" t="s">
        <v>133</v>
      </c>
      <c r="F68" s="29"/>
      <c r="G68" s="29"/>
      <c r="H68" s="38"/>
      <c r="I68" s="38"/>
      <c r="J68" s="38"/>
      <c r="K68" s="38">
        <f>K128</f>
        <v>2</v>
      </c>
      <c r="L68" s="38">
        <f t="shared" ref="L68:M68" si="30">L128</f>
        <v>3.75</v>
      </c>
      <c r="M68" s="38">
        <f t="shared" si="30"/>
        <v>4.6875</v>
      </c>
      <c r="N68" s="29"/>
      <c r="O68" s="29"/>
      <c r="P68" s="29"/>
    </row>
    <row r="69" spans="4:16" x14ac:dyDescent="0.2">
      <c r="D69" s="29"/>
      <c r="E69" s="29" t="s">
        <v>134</v>
      </c>
      <c r="F69" s="29"/>
      <c r="G69" s="29"/>
      <c r="H69" s="38"/>
      <c r="I69" s="38"/>
      <c r="J69" s="38"/>
      <c r="K69" s="38"/>
      <c r="L69" s="38">
        <f>L150</f>
        <v>2</v>
      </c>
      <c r="M69" s="38">
        <f>M150</f>
        <v>3.75</v>
      </c>
      <c r="N69" s="29"/>
      <c r="O69" s="29"/>
      <c r="P69" s="29"/>
    </row>
    <row r="70" spans="4:16" x14ac:dyDescent="0.2">
      <c r="D70" s="29"/>
      <c r="E70" s="48" t="s">
        <v>137</v>
      </c>
      <c r="F70" s="49"/>
      <c r="G70" s="49"/>
      <c r="H70" s="50">
        <f>SUM(H66:H69)</f>
        <v>7.9380479999999993</v>
      </c>
      <c r="I70" s="50">
        <f t="shared" ref="I70:M70" si="31">SUM(I66:I69)</f>
        <v>9.917537519999998</v>
      </c>
      <c r="J70" s="50">
        <f t="shared" si="31"/>
        <v>14.402490324799999</v>
      </c>
      <c r="K70" s="50">
        <f t="shared" si="31"/>
        <v>21.124949022751998</v>
      </c>
      <c r="L70" s="50">
        <f t="shared" si="31"/>
        <v>29.522189010212475</v>
      </c>
      <c r="M70" s="50">
        <f t="shared" si="31"/>
        <v>38.017801736463475</v>
      </c>
      <c r="N70" s="29"/>
      <c r="O70" s="29"/>
      <c r="P70" s="29"/>
    </row>
    <row r="71" spans="4:16" x14ac:dyDescent="0.2">
      <c r="D71" s="29"/>
      <c r="E71" s="51" t="s">
        <v>138</v>
      </c>
      <c r="F71" s="29"/>
      <c r="G71" s="29"/>
      <c r="H71" s="31"/>
      <c r="I71" s="31"/>
      <c r="J71" s="31"/>
      <c r="K71" s="31"/>
      <c r="L71" s="31"/>
      <c r="M71" s="31"/>
      <c r="N71" s="29"/>
      <c r="O71" s="29"/>
      <c r="P71" s="29"/>
    </row>
    <row r="72" spans="4:16" x14ac:dyDescent="0.2">
      <c r="D72" s="29"/>
      <c r="E72" s="29"/>
      <c r="F72" s="29"/>
      <c r="G72" s="29"/>
      <c r="H72" s="31"/>
      <c r="I72" s="31"/>
      <c r="J72" s="31"/>
      <c r="K72" s="31"/>
      <c r="L72" s="31"/>
      <c r="M72" s="31"/>
      <c r="N72" s="29"/>
      <c r="O72" s="29"/>
      <c r="P72" s="29"/>
    </row>
    <row r="73" spans="4:16" x14ac:dyDescent="0.2">
      <c r="D73" s="29"/>
      <c r="E73" s="42" t="s">
        <v>139</v>
      </c>
      <c r="F73" s="29"/>
      <c r="G73" s="29"/>
      <c r="H73" s="47">
        <f>H47</f>
        <v>-0.66150399999999998</v>
      </c>
      <c r="I73" s="47">
        <f t="shared" ref="I73:M73" si="32">I47</f>
        <v>-0.82646145999999987</v>
      </c>
      <c r="J73" s="47">
        <f t="shared" si="32"/>
        <v>-1.0335408604</v>
      </c>
      <c r="K73" s="47">
        <f t="shared" si="32"/>
        <v>-1.2937457518960001</v>
      </c>
      <c r="L73" s="47">
        <f t="shared" si="32"/>
        <v>-1.6210157508510397</v>
      </c>
      <c r="M73" s="47">
        <f t="shared" si="32"/>
        <v>-2.0330251447052894</v>
      </c>
      <c r="N73" s="29"/>
      <c r="O73" s="29"/>
      <c r="P73" s="29"/>
    </row>
    <row r="74" spans="4:16" x14ac:dyDescent="0.2">
      <c r="D74" s="29"/>
      <c r="E74" s="29" t="s">
        <v>132</v>
      </c>
      <c r="F74" s="29"/>
      <c r="G74" s="29"/>
      <c r="H74" s="38"/>
      <c r="I74" s="38"/>
      <c r="J74" s="38">
        <f>J109</f>
        <v>-0.6</v>
      </c>
      <c r="K74" s="38">
        <f t="shared" ref="K74:M74" si="33">K109</f>
        <v>-0.72</v>
      </c>
      <c r="L74" s="38">
        <f t="shared" si="33"/>
        <v>-0.86399999999999988</v>
      </c>
      <c r="M74" s="38">
        <f t="shared" si="33"/>
        <v>-1.0367999999999997</v>
      </c>
      <c r="N74" s="29"/>
      <c r="O74" s="29"/>
      <c r="P74" s="29"/>
    </row>
    <row r="75" spans="4:16" x14ac:dyDescent="0.2">
      <c r="D75" s="29"/>
      <c r="E75" s="29" t="s">
        <v>133</v>
      </c>
      <c r="F75" s="29"/>
      <c r="G75" s="29"/>
      <c r="H75" s="38"/>
      <c r="I75" s="38"/>
      <c r="J75" s="38"/>
      <c r="K75" s="38">
        <f>K131</f>
        <v>-0.6</v>
      </c>
      <c r="L75" s="38">
        <f t="shared" ref="L75:M75" si="34">L131</f>
        <v>-0.75</v>
      </c>
      <c r="M75" s="38">
        <f t="shared" si="34"/>
        <v>-0.9375</v>
      </c>
      <c r="N75" s="29"/>
      <c r="O75" s="29"/>
      <c r="P75" s="29"/>
    </row>
    <row r="76" spans="4:16" x14ac:dyDescent="0.2">
      <c r="D76" s="29"/>
      <c r="E76" s="29" t="s">
        <v>134</v>
      </c>
      <c r="F76" s="29"/>
      <c r="G76" s="29"/>
      <c r="H76" s="38"/>
      <c r="I76" s="38"/>
      <c r="J76" s="38"/>
      <c r="K76" s="38"/>
      <c r="L76" s="38">
        <f>L153</f>
        <v>-0.6</v>
      </c>
      <c r="M76" s="38">
        <f>M153</f>
        <v>-0.75</v>
      </c>
      <c r="N76" s="29"/>
      <c r="O76" s="29"/>
      <c r="P76" s="29"/>
    </row>
    <row r="77" spans="4:16" x14ac:dyDescent="0.2">
      <c r="D77" s="29"/>
      <c r="E77" s="48" t="s">
        <v>140</v>
      </c>
      <c r="F77" s="49"/>
      <c r="G77" s="49"/>
      <c r="H77" s="50">
        <f>SUM(H73:H76)</f>
        <v>-0.66150399999999998</v>
      </c>
      <c r="I77" s="50">
        <f t="shared" ref="I77:M77" si="35">SUM(I73:I76)</f>
        <v>-0.82646145999999987</v>
      </c>
      <c r="J77" s="50">
        <f t="shared" si="35"/>
        <v>-1.6335408604000001</v>
      </c>
      <c r="K77" s="50">
        <f t="shared" si="35"/>
        <v>-2.6137457518959999</v>
      </c>
      <c r="L77" s="50">
        <f t="shared" si="35"/>
        <v>-3.8350157508510399</v>
      </c>
      <c r="M77" s="50">
        <f t="shared" si="35"/>
        <v>-4.7573251447052893</v>
      </c>
      <c r="N77" s="29"/>
      <c r="O77" s="29"/>
      <c r="P77" s="29"/>
    </row>
    <row r="78" spans="4:16" x14ac:dyDescent="0.2">
      <c r="D78" s="29"/>
      <c r="E78" s="29"/>
      <c r="F78" s="29"/>
      <c r="G78" s="29"/>
      <c r="H78" s="31"/>
      <c r="I78" s="31"/>
      <c r="J78" s="31"/>
      <c r="K78" s="31"/>
      <c r="L78" s="31"/>
      <c r="M78" s="31"/>
      <c r="N78" s="29"/>
      <c r="O78" s="29"/>
      <c r="P78" s="29"/>
    </row>
    <row r="79" spans="4:16" x14ac:dyDescent="0.2">
      <c r="D79" s="29"/>
      <c r="E79" s="42" t="s">
        <v>141</v>
      </c>
      <c r="F79" s="29"/>
      <c r="G79" s="29"/>
      <c r="H79" s="47">
        <f>H52</f>
        <v>-0.71442432</v>
      </c>
      <c r="I79" s="47">
        <f t="shared" ref="I79:M79" si="36">I52</f>
        <v>-2.3471505463999991</v>
      </c>
      <c r="J79" s="47">
        <f t="shared" si="36"/>
        <v>-1.901715183136</v>
      </c>
      <c r="K79" s="47">
        <f t="shared" si="36"/>
        <v>-1.0867464315926401</v>
      </c>
      <c r="L79" s="47">
        <f t="shared" si="36"/>
        <v>-1.102290710578707</v>
      </c>
      <c r="M79" s="47">
        <f t="shared" si="36"/>
        <v>-1.382457098399597</v>
      </c>
      <c r="N79" s="29"/>
      <c r="O79" s="29"/>
      <c r="P79" s="29"/>
    </row>
    <row r="80" spans="4:16" x14ac:dyDescent="0.2">
      <c r="D80" s="29"/>
      <c r="E80" s="29" t="s">
        <v>132</v>
      </c>
      <c r="F80" s="29"/>
      <c r="G80" s="29"/>
      <c r="H80" s="38"/>
      <c r="I80" s="38"/>
      <c r="J80" s="38">
        <f>J112</f>
        <v>-0.3</v>
      </c>
      <c r="K80" s="38">
        <f t="shared" ref="K80:M80" si="37">K112</f>
        <v>-0.36</v>
      </c>
      <c r="L80" s="38">
        <f t="shared" si="37"/>
        <v>-0.43199999999999994</v>
      </c>
      <c r="M80" s="38">
        <f t="shared" si="37"/>
        <v>-0.51839999999999986</v>
      </c>
      <c r="N80" s="29"/>
      <c r="O80" s="29"/>
      <c r="P80" s="29"/>
    </row>
    <row r="81" spans="1:17" x14ac:dyDescent="0.2">
      <c r="D81" s="29"/>
      <c r="E81" s="29" t="s">
        <v>133</v>
      </c>
      <c r="F81" s="29"/>
      <c r="G81" s="29"/>
      <c r="H81" s="38"/>
      <c r="I81" s="38"/>
      <c r="J81" s="38"/>
      <c r="K81" s="38">
        <f>K134</f>
        <v>-0.3</v>
      </c>
      <c r="L81" s="38">
        <f t="shared" ref="L81:M81" si="38">L134</f>
        <v>-0.375</v>
      </c>
      <c r="M81" s="38">
        <f t="shared" si="38"/>
        <v>-0.46875</v>
      </c>
      <c r="N81" s="29"/>
      <c r="O81" s="29"/>
      <c r="P81" s="29"/>
    </row>
    <row r="82" spans="1:17" x14ac:dyDescent="0.2">
      <c r="D82" s="29"/>
      <c r="E82" s="29" t="s">
        <v>134</v>
      </c>
      <c r="F82" s="29"/>
      <c r="G82" s="29"/>
      <c r="H82" s="38"/>
      <c r="I82" s="38"/>
      <c r="J82" s="38"/>
      <c r="K82" s="38"/>
      <c r="L82" s="38">
        <f>L156</f>
        <v>-0.3</v>
      </c>
      <c r="M82" s="38">
        <f t="shared" ref="M82" si="39">M156</f>
        <v>-0.375</v>
      </c>
      <c r="N82" s="29"/>
      <c r="O82" s="29"/>
      <c r="P82" s="29"/>
    </row>
    <row r="83" spans="1:17" x14ac:dyDescent="0.2">
      <c r="D83" s="29"/>
      <c r="E83" s="48" t="s">
        <v>142</v>
      </c>
      <c r="F83" s="49"/>
      <c r="G83" s="49"/>
      <c r="H83" s="50">
        <f>SUM(H79:H82)</f>
        <v>-0.71442432</v>
      </c>
      <c r="I83" s="50">
        <f t="shared" ref="I83:M83" si="40">SUM(I79:I82)</f>
        <v>-2.3471505463999991</v>
      </c>
      <c r="J83" s="50">
        <f t="shared" si="40"/>
        <v>-2.2017151831359998</v>
      </c>
      <c r="K83" s="50">
        <f t="shared" si="40"/>
        <v>-1.74674643159264</v>
      </c>
      <c r="L83" s="50">
        <f t="shared" si="40"/>
        <v>-2.2092907105787067</v>
      </c>
      <c r="M83" s="50">
        <f t="shared" si="40"/>
        <v>-2.7446070983995967</v>
      </c>
      <c r="N83" s="29"/>
      <c r="O83" s="29"/>
      <c r="P83" s="29"/>
    </row>
    <row r="84" spans="1:17" x14ac:dyDescent="0.2">
      <c r="D84" s="29"/>
      <c r="E84" s="29"/>
      <c r="F84" s="29"/>
      <c r="G84" s="29"/>
      <c r="H84" s="31"/>
      <c r="I84" s="31"/>
      <c r="J84" s="31"/>
      <c r="K84" s="31"/>
      <c r="L84" s="31"/>
      <c r="M84" s="31"/>
      <c r="N84" s="29"/>
      <c r="O84" s="29"/>
      <c r="P84" s="29"/>
    </row>
    <row r="85" spans="1:17" x14ac:dyDescent="0.2">
      <c r="D85" s="29"/>
      <c r="E85" s="42" t="s">
        <v>143</v>
      </c>
      <c r="F85" s="29"/>
      <c r="G85" s="29"/>
      <c r="H85" s="47">
        <f>H55</f>
        <v>3.7473407999999999</v>
      </c>
      <c r="I85" s="47">
        <f t="shared" ref="I85:M85" si="41">I55</f>
        <v>2.2445598847999992</v>
      </c>
      <c r="J85" s="47">
        <f t="shared" si="41"/>
        <v>2.3770487796000008</v>
      </c>
      <c r="K85" s="47">
        <f t="shared" si="41"/>
        <v>3.7937507478211181</v>
      </c>
      <c r="L85" s="47">
        <f t="shared" si="41"/>
        <v>4.7433732082296487</v>
      </c>
      <c r="M85" s="47">
        <f t="shared" si="41"/>
        <v>5.0594753565301893</v>
      </c>
      <c r="N85" s="29"/>
      <c r="O85" s="29"/>
      <c r="P85" s="29"/>
    </row>
    <row r="86" spans="1:17" x14ac:dyDescent="0.2">
      <c r="D86" s="29"/>
      <c r="E86" s="29" t="s">
        <v>132</v>
      </c>
      <c r="F86" s="29"/>
      <c r="G86" s="29"/>
      <c r="H86" s="38"/>
      <c r="I86" s="38"/>
      <c r="J86" s="38">
        <f>J115</f>
        <v>0.1</v>
      </c>
      <c r="K86" s="38">
        <f t="shared" ref="K86:M86" si="42">K115</f>
        <v>0.12</v>
      </c>
      <c r="L86" s="38">
        <f t="shared" si="42"/>
        <v>0.14399999999999999</v>
      </c>
      <c r="M86" s="38">
        <f t="shared" si="42"/>
        <v>0.17279999999999998</v>
      </c>
      <c r="N86" s="29"/>
      <c r="O86" s="29"/>
      <c r="P86" s="29"/>
    </row>
    <row r="87" spans="1:17" x14ac:dyDescent="0.2">
      <c r="D87" s="29"/>
      <c r="E87" s="29" t="s">
        <v>133</v>
      </c>
      <c r="F87" s="29"/>
      <c r="G87" s="29"/>
      <c r="H87" s="38"/>
      <c r="I87" s="38"/>
      <c r="J87" s="38"/>
      <c r="K87" s="38">
        <f>K137</f>
        <v>0.1</v>
      </c>
      <c r="L87" s="38">
        <f t="shared" ref="L87:M87" si="43">L137</f>
        <v>0.125</v>
      </c>
      <c r="M87" s="38">
        <f t="shared" si="43"/>
        <v>0.15625</v>
      </c>
      <c r="N87" s="29"/>
      <c r="O87" s="29"/>
      <c r="P87" s="29"/>
    </row>
    <row r="88" spans="1:17" x14ac:dyDescent="0.2">
      <c r="D88" s="29"/>
      <c r="E88" s="29" t="s">
        <v>134</v>
      </c>
      <c r="F88" s="29"/>
      <c r="G88" s="29"/>
      <c r="H88" s="38"/>
      <c r="I88" s="38"/>
      <c r="J88" s="38"/>
      <c r="K88" s="38"/>
      <c r="L88" s="38">
        <f>L159</f>
        <v>0.1</v>
      </c>
      <c r="M88" s="38">
        <f t="shared" ref="M88" si="44">M159</f>
        <v>0.125</v>
      </c>
      <c r="N88" s="29"/>
      <c r="O88" s="29"/>
      <c r="P88" s="29"/>
    </row>
    <row r="89" spans="1:17" x14ac:dyDescent="0.2">
      <c r="D89" s="29"/>
      <c r="E89" s="48" t="s">
        <v>144</v>
      </c>
      <c r="F89" s="49"/>
      <c r="G89" s="49"/>
      <c r="H89" s="50">
        <f>SUM(H85:H88)</f>
        <v>3.7473407999999999</v>
      </c>
      <c r="I89" s="50">
        <f t="shared" ref="I89:M89" si="45">SUM(I85:I88)</f>
        <v>2.2445598847999992</v>
      </c>
      <c r="J89" s="50">
        <f t="shared" si="45"/>
        <v>2.4770487796000009</v>
      </c>
      <c r="K89" s="50">
        <f t="shared" si="45"/>
        <v>4.0137507478211178</v>
      </c>
      <c r="L89" s="50">
        <f t="shared" si="45"/>
        <v>5.1123732082296485</v>
      </c>
      <c r="M89" s="50">
        <f t="shared" si="45"/>
        <v>5.5135253565301889</v>
      </c>
      <c r="N89" s="29"/>
      <c r="O89" s="29"/>
      <c r="P89" s="29"/>
    </row>
    <row r="90" spans="1:17" x14ac:dyDescent="0.2">
      <c r="D90" s="29"/>
      <c r="E90" s="29"/>
      <c r="F90" s="29"/>
      <c r="G90" s="29"/>
      <c r="H90" s="31"/>
      <c r="I90" s="31"/>
      <c r="J90" s="31"/>
      <c r="K90" s="31"/>
      <c r="L90" s="31"/>
      <c r="M90" s="31"/>
      <c r="N90" s="29"/>
      <c r="O90" s="29"/>
      <c r="P90" s="29"/>
    </row>
    <row r="91" spans="1:17" x14ac:dyDescent="0.2">
      <c r="D91" s="29"/>
      <c r="E91" s="29" t="s">
        <v>121</v>
      </c>
      <c r="F91" s="29"/>
      <c r="G91" s="29"/>
      <c r="H91" s="38">
        <f t="shared" ref="H91:I91" si="46">SUMIF($E$94:$E$160,$E$91,H$94:H$160)</f>
        <v>0</v>
      </c>
      <c r="I91" s="38">
        <f t="shared" si="46"/>
        <v>0</v>
      </c>
      <c r="J91" s="38">
        <f>SUMIF($E$94:$E$160,$E$91,J$94:J$160)</f>
        <v>-16</v>
      </c>
      <c r="K91" s="38">
        <f t="shared" ref="K91:M91" si="47">SUMIF($E$94:$E$160,$E$91,K$94:K$160)</f>
        <v>-16</v>
      </c>
      <c r="L91" s="38">
        <f t="shared" si="47"/>
        <v>-16</v>
      </c>
      <c r="M91" s="38">
        <f t="shared" si="47"/>
        <v>0</v>
      </c>
      <c r="N91" s="29"/>
      <c r="O91" s="29"/>
      <c r="P91" s="29"/>
    </row>
    <row r="92" spans="1:17" x14ac:dyDescent="0.2">
      <c r="D92" s="29"/>
      <c r="E92" s="29"/>
      <c r="F92" s="29"/>
      <c r="G92" s="29"/>
      <c r="H92" s="31"/>
      <c r="I92" s="31"/>
      <c r="J92" s="38"/>
      <c r="K92" s="38"/>
      <c r="L92" s="31"/>
      <c r="M92" s="31"/>
      <c r="N92" s="29"/>
      <c r="O92" s="29"/>
      <c r="P92" s="29"/>
    </row>
    <row r="93" spans="1:17" x14ac:dyDescent="0.2">
      <c r="D93" s="29"/>
      <c r="E93" s="29"/>
      <c r="F93" s="29"/>
      <c r="G93" s="29"/>
      <c r="H93" s="31"/>
      <c r="I93" s="31"/>
      <c r="J93" s="31"/>
      <c r="K93" s="31"/>
      <c r="L93" s="31"/>
      <c r="M93" s="31"/>
      <c r="N93" s="29"/>
      <c r="O93" s="29"/>
      <c r="P93" s="29"/>
    </row>
    <row r="94" spans="1:17" x14ac:dyDescent="0.2">
      <c r="A94" s="173"/>
      <c r="B94" s="173"/>
      <c r="C94" s="173"/>
      <c r="D94" s="172" t="s">
        <v>123</v>
      </c>
      <c r="E94" s="171" t="s">
        <v>145</v>
      </c>
      <c r="F94" s="171"/>
      <c r="G94" s="171"/>
      <c r="H94" s="172"/>
      <c r="I94" s="172"/>
      <c r="J94" s="172"/>
      <c r="K94" s="172"/>
      <c r="L94" s="172"/>
      <c r="M94" s="172"/>
      <c r="N94" s="171"/>
      <c r="O94" s="171"/>
      <c r="P94" s="171"/>
      <c r="Q94" s="173"/>
    </row>
    <row r="95" spans="1:17" x14ac:dyDescent="0.2">
      <c r="D95" s="29"/>
      <c r="E95" s="29"/>
      <c r="F95" s="29"/>
      <c r="G95" s="29"/>
      <c r="H95" s="31"/>
      <c r="I95" s="31"/>
      <c r="J95" s="31"/>
      <c r="K95" s="31"/>
      <c r="L95" s="31"/>
      <c r="M95" s="31"/>
      <c r="N95" s="29"/>
      <c r="O95" s="29"/>
      <c r="P95" s="29"/>
    </row>
    <row r="96" spans="1:17" x14ac:dyDescent="0.2">
      <c r="D96" s="29"/>
      <c r="E96" s="36" t="s">
        <v>146</v>
      </c>
      <c r="F96" s="36"/>
      <c r="G96" s="36"/>
      <c r="H96" s="52"/>
      <c r="I96" s="52"/>
      <c r="J96" s="52"/>
      <c r="K96" s="52"/>
      <c r="L96" s="52"/>
      <c r="M96" s="52"/>
      <c r="N96" s="29"/>
      <c r="O96" s="29"/>
      <c r="P96" s="29"/>
    </row>
    <row r="97" spans="4:16" x14ac:dyDescent="0.2">
      <c r="D97" s="29"/>
      <c r="E97" s="29"/>
      <c r="F97" s="29"/>
      <c r="G97" s="29"/>
      <c r="H97" s="31"/>
      <c r="I97" s="31"/>
      <c r="J97" s="31"/>
      <c r="K97" s="31"/>
      <c r="L97" s="31"/>
      <c r="M97" s="31"/>
      <c r="N97" s="29"/>
      <c r="O97" s="29"/>
      <c r="P97" s="29"/>
    </row>
    <row r="98" spans="4:16" x14ac:dyDescent="0.2">
      <c r="D98" s="29"/>
      <c r="E98" s="29" t="s">
        <v>147</v>
      </c>
      <c r="F98" s="29"/>
      <c r="G98" s="29"/>
      <c r="H98" s="31"/>
      <c r="J98" s="152">
        <v>10</v>
      </c>
      <c r="K98" s="31"/>
      <c r="L98" s="31"/>
      <c r="M98" s="31"/>
      <c r="N98" s="29"/>
      <c r="O98" s="29"/>
      <c r="P98" s="29"/>
    </row>
    <row r="99" spans="4:16" x14ac:dyDescent="0.2">
      <c r="D99" s="29"/>
      <c r="E99" s="29" t="s">
        <v>148</v>
      </c>
      <c r="F99" s="29"/>
      <c r="G99" s="29"/>
      <c r="H99" s="31"/>
      <c r="J99" s="153">
        <v>2</v>
      </c>
      <c r="K99" s="31"/>
      <c r="L99" s="31"/>
      <c r="M99" s="31"/>
      <c r="N99" s="29"/>
      <c r="O99" s="29"/>
      <c r="P99" s="29"/>
    </row>
    <row r="100" spans="4:16" x14ac:dyDescent="0.2">
      <c r="D100" s="29"/>
      <c r="E100" s="29" t="s">
        <v>149</v>
      </c>
      <c r="F100" s="29"/>
      <c r="G100" s="29"/>
      <c r="H100" s="31"/>
      <c r="J100" s="53">
        <f>J99/J98</f>
        <v>0.2</v>
      </c>
      <c r="K100" s="31"/>
      <c r="L100" s="31"/>
      <c r="M100" s="31"/>
      <c r="N100" s="29"/>
      <c r="O100" s="29"/>
      <c r="P100" s="29"/>
    </row>
    <row r="101" spans="4:16" x14ac:dyDescent="0.2">
      <c r="D101" s="29"/>
      <c r="E101" s="29" t="s">
        <v>150</v>
      </c>
      <c r="F101" s="29"/>
      <c r="G101" s="29"/>
      <c r="H101" s="31"/>
      <c r="J101" s="154">
        <v>8</v>
      </c>
      <c r="K101" s="31"/>
      <c r="L101" s="31"/>
      <c r="M101" s="31"/>
      <c r="N101" s="29"/>
      <c r="O101" s="29"/>
      <c r="P101" s="29"/>
    </row>
    <row r="102" spans="4:16" x14ac:dyDescent="0.2">
      <c r="D102" s="29"/>
      <c r="E102" s="29" t="s">
        <v>121</v>
      </c>
      <c r="F102" s="29"/>
      <c r="G102" s="29"/>
      <c r="H102" s="31"/>
      <c r="J102" s="38">
        <f>J99*-J101</f>
        <v>-16</v>
      </c>
      <c r="K102" s="31"/>
      <c r="L102" s="31"/>
      <c r="M102" s="31"/>
      <c r="N102" s="29"/>
      <c r="O102" s="29"/>
      <c r="P102" s="29"/>
    </row>
    <row r="103" spans="4:16" x14ac:dyDescent="0.2">
      <c r="D103" s="29"/>
      <c r="E103" s="29"/>
      <c r="F103" s="29"/>
      <c r="G103" s="29"/>
      <c r="H103" s="31"/>
      <c r="J103" s="31"/>
      <c r="K103" s="31"/>
      <c r="L103" s="31"/>
      <c r="M103" s="31"/>
      <c r="N103" s="29"/>
      <c r="O103" s="29"/>
      <c r="P103" s="29"/>
    </row>
    <row r="104" spans="4:16" x14ac:dyDescent="0.2">
      <c r="D104" s="29"/>
      <c r="E104" s="29" t="s">
        <v>151</v>
      </c>
      <c r="F104" s="29"/>
      <c r="G104" s="29"/>
      <c r="H104" s="31"/>
      <c r="J104" s="38">
        <f>J98</f>
        <v>10</v>
      </c>
      <c r="K104" s="38">
        <f>J104*(1+K105)</f>
        <v>12</v>
      </c>
      <c r="L104" s="38">
        <f>K104*(1+L105)</f>
        <v>14.399999999999999</v>
      </c>
      <c r="M104" s="38">
        <f>L104*(1+M105)</f>
        <v>17.279999999999998</v>
      </c>
      <c r="N104" s="29"/>
      <c r="O104" s="29"/>
      <c r="P104" s="29"/>
    </row>
    <row r="105" spans="4:16" x14ac:dyDescent="0.2">
      <c r="D105" s="29"/>
      <c r="E105" s="51" t="s">
        <v>152</v>
      </c>
      <c r="F105" s="29"/>
      <c r="G105" s="29"/>
      <c r="H105" s="31"/>
      <c r="J105" s="31"/>
      <c r="K105" s="155">
        <v>0.2</v>
      </c>
      <c r="L105" s="156">
        <v>0.2</v>
      </c>
      <c r="M105" s="157">
        <v>0.2</v>
      </c>
      <c r="N105" s="29"/>
      <c r="O105" s="29"/>
      <c r="P105" s="29"/>
    </row>
    <row r="106" spans="4:16" x14ac:dyDescent="0.2">
      <c r="D106" s="29"/>
      <c r="E106" s="29" t="s">
        <v>153</v>
      </c>
      <c r="F106" s="29"/>
      <c r="G106" s="29"/>
      <c r="H106" s="31"/>
      <c r="J106" s="38">
        <f>J99</f>
        <v>2</v>
      </c>
      <c r="K106" s="38">
        <f>K104*K107</f>
        <v>3.5999999999999996</v>
      </c>
      <c r="L106" s="38">
        <f>L104*L107</f>
        <v>4.3199999999999994</v>
      </c>
      <c r="M106" s="38">
        <f>M104*M107</f>
        <v>5.1839999999999993</v>
      </c>
      <c r="N106" s="29"/>
      <c r="O106" s="29"/>
      <c r="P106" s="29"/>
    </row>
    <row r="107" spans="4:16" x14ac:dyDescent="0.2">
      <c r="D107" s="29"/>
      <c r="E107" s="29" t="s">
        <v>154</v>
      </c>
      <c r="F107" s="29"/>
      <c r="G107" s="29"/>
      <c r="H107" s="31"/>
      <c r="J107" s="155">
        <v>0.3</v>
      </c>
      <c r="K107" s="156">
        <v>0.3</v>
      </c>
      <c r="L107" s="156">
        <v>0.3</v>
      </c>
      <c r="M107" s="157">
        <v>0.3</v>
      </c>
      <c r="N107" s="29"/>
      <c r="O107" s="29"/>
      <c r="P107" s="29"/>
    </row>
    <row r="108" spans="4:16" x14ac:dyDescent="0.2">
      <c r="D108" s="29"/>
      <c r="E108" s="29"/>
      <c r="F108" s="29"/>
      <c r="G108" s="29"/>
      <c r="H108" s="31"/>
      <c r="J108" s="31"/>
      <c r="K108" s="31"/>
      <c r="L108" s="31"/>
      <c r="M108" s="31"/>
      <c r="N108" s="29"/>
      <c r="O108" s="29"/>
      <c r="P108" s="29"/>
    </row>
    <row r="109" spans="4:16" x14ac:dyDescent="0.2">
      <c r="D109" s="29"/>
      <c r="E109" s="29" t="s">
        <v>42</v>
      </c>
      <c r="F109" s="29"/>
      <c r="G109" s="29"/>
      <c r="H109" s="31"/>
      <c r="J109" s="54">
        <f>-J$104*J110</f>
        <v>-0.6</v>
      </c>
      <c r="K109" s="54">
        <f>-K$104*K110</f>
        <v>-0.72</v>
      </c>
      <c r="L109" s="54">
        <f>-L$104*L110</f>
        <v>-0.86399999999999988</v>
      </c>
      <c r="M109" s="54">
        <f>-M$104*M110</f>
        <v>-1.0367999999999997</v>
      </c>
      <c r="N109" s="29"/>
      <c r="O109" s="29"/>
      <c r="P109" s="29"/>
    </row>
    <row r="110" spans="4:16" x14ac:dyDescent="0.2">
      <c r="D110" s="29"/>
      <c r="E110" s="44" t="s">
        <v>128</v>
      </c>
      <c r="F110" s="29"/>
      <c r="G110" s="29"/>
      <c r="H110" s="31"/>
      <c r="J110" s="158">
        <v>0.06</v>
      </c>
      <c r="K110" s="159">
        <f>J110</f>
        <v>0.06</v>
      </c>
      <c r="L110" s="159">
        <f>K110</f>
        <v>0.06</v>
      </c>
      <c r="M110" s="160">
        <f>L110</f>
        <v>0.06</v>
      </c>
      <c r="N110" s="29"/>
      <c r="O110" s="29"/>
      <c r="P110" s="29"/>
    </row>
    <row r="111" spans="4:16" x14ac:dyDescent="0.2">
      <c r="D111" s="29"/>
      <c r="E111" s="29"/>
      <c r="F111" s="29"/>
      <c r="G111" s="29"/>
      <c r="H111" s="31"/>
      <c r="J111" s="29"/>
      <c r="K111" s="29"/>
      <c r="L111" s="29"/>
      <c r="M111" s="29"/>
      <c r="N111" s="29"/>
      <c r="O111" s="29"/>
      <c r="P111" s="29"/>
    </row>
    <row r="112" spans="4:16" x14ac:dyDescent="0.2">
      <c r="D112" s="29"/>
      <c r="E112" s="29" t="s">
        <v>119</v>
      </c>
      <c r="F112" s="29"/>
      <c r="G112" s="29"/>
      <c r="H112" s="31"/>
      <c r="J112" s="54">
        <f>-J$104*J113</f>
        <v>-0.3</v>
      </c>
      <c r="K112" s="54">
        <f>-K$104*K113</f>
        <v>-0.36</v>
      </c>
      <c r="L112" s="54">
        <f>-L$104*L113</f>
        <v>-0.43199999999999994</v>
      </c>
      <c r="M112" s="54">
        <f>-M$104*M113</f>
        <v>-0.51839999999999986</v>
      </c>
      <c r="N112" s="29"/>
      <c r="O112" s="29"/>
      <c r="P112" s="29"/>
    </row>
    <row r="113" spans="4:16" x14ac:dyDescent="0.2">
      <c r="D113" s="29"/>
      <c r="E113" s="44" t="s">
        <v>128</v>
      </c>
      <c r="F113" s="29"/>
      <c r="G113" s="29"/>
      <c r="H113" s="31"/>
      <c r="J113" s="158">
        <v>0.03</v>
      </c>
      <c r="K113" s="159">
        <f>J113</f>
        <v>0.03</v>
      </c>
      <c r="L113" s="159">
        <f>K113</f>
        <v>0.03</v>
      </c>
      <c r="M113" s="160">
        <f>L113</f>
        <v>0.03</v>
      </c>
      <c r="N113" s="29"/>
      <c r="O113" s="29"/>
      <c r="P113" s="29"/>
    </row>
    <row r="114" spans="4:16" x14ac:dyDescent="0.2">
      <c r="D114" s="29"/>
      <c r="E114" s="29"/>
      <c r="F114" s="29"/>
      <c r="G114" s="29"/>
      <c r="H114" s="31"/>
      <c r="J114" s="29"/>
      <c r="K114" s="29"/>
      <c r="L114" s="29"/>
      <c r="M114" s="29"/>
      <c r="N114" s="29"/>
      <c r="O114" s="29"/>
      <c r="P114" s="29"/>
    </row>
    <row r="115" spans="4:16" x14ac:dyDescent="0.2">
      <c r="D115" s="29"/>
      <c r="E115" s="29" t="s">
        <v>129</v>
      </c>
      <c r="F115" s="29"/>
      <c r="G115" s="29"/>
      <c r="H115" s="31"/>
      <c r="J115" s="54">
        <f>J$104*J116</f>
        <v>0.1</v>
      </c>
      <c r="K115" s="54">
        <f>K$104*K116</f>
        <v>0.12</v>
      </c>
      <c r="L115" s="54">
        <f>L$104*L116</f>
        <v>0.14399999999999999</v>
      </c>
      <c r="M115" s="54">
        <f>M$104*M116</f>
        <v>0.17279999999999998</v>
      </c>
      <c r="N115" s="29"/>
      <c r="O115" s="29"/>
      <c r="P115" s="29"/>
    </row>
    <row r="116" spans="4:16" x14ac:dyDescent="0.2">
      <c r="D116" s="29"/>
      <c r="E116" s="44" t="s">
        <v>128</v>
      </c>
      <c r="F116" s="29"/>
      <c r="G116" s="29"/>
      <c r="H116" s="31"/>
      <c r="J116" s="158">
        <v>0.01</v>
      </c>
      <c r="K116" s="159">
        <f>J116</f>
        <v>0.01</v>
      </c>
      <c r="L116" s="159">
        <f>K116</f>
        <v>0.01</v>
      </c>
      <c r="M116" s="160">
        <f>L116</f>
        <v>0.01</v>
      </c>
      <c r="N116" s="29"/>
      <c r="O116" s="29"/>
      <c r="P116" s="29"/>
    </row>
    <row r="117" spans="4:16" x14ac:dyDescent="0.2">
      <c r="D117" s="29"/>
      <c r="E117" s="29"/>
      <c r="F117" s="29"/>
      <c r="G117" s="29"/>
      <c r="H117" s="31"/>
      <c r="I117" s="31"/>
      <c r="J117" s="31"/>
      <c r="K117" s="31"/>
      <c r="L117" s="31"/>
      <c r="M117" s="31"/>
      <c r="N117" s="29"/>
      <c r="O117" s="29"/>
      <c r="P117" s="29"/>
    </row>
    <row r="118" spans="4:16" x14ac:dyDescent="0.2">
      <c r="D118" s="29"/>
      <c r="E118" s="36" t="s">
        <v>155</v>
      </c>
      <c r="F118" s="36"/>
      <c r="G118" s="36"/>
      <c r="H118" s="52"/>
      <c r="I118" s="59"/>
      <c r="J118" s="59"/>
      <c r="K118" s="59"/>
      <c r="L118" s="59"/>
      <c r="M118" s="59"/>
      <c r="N118" s="29"/>
      <c r="O118" s="29"/>
      <c r="P118" s="29"/>
    </row>
    <row r="119" spans="4:16" x14ac:dyDescent="0.2">
      <c r="D119" s="29"/>
      <c r="E119" s="29"/>
      <c r="F119" s="29"/>
      <c r="G119" s="29"/>
      <c r="H119" s="31"/>
      <c r="I119" s="31"/>
      <c r="J119" s="31"/>
      <c r="K119" s="31"/>
      <c r="L119" s="31"/>
      <c r="M119" s="31"/>
      <c r="N119" s="29"/>
      <c r="O119" s="29"/>
      <c r="P119" s="29"/>
    </row>
    <row r="120" spans="4:16" x14ac:dyDescent="0.2">
      <c r="D120" s="29"/>
      <c r="E120" s="29" t="s">
        <v>147</v>
      </c>
      <c r="F120" s="29"/>
      <c r="G120" s="29"/>
      <c r="H120" s="31"/>
      <c r="I120" s="31"/>
      <c r="K120" s="152">
        <v>10</v>
      </c>
      <c r="L120" s="31"/>
      <c r="M120" s="31"/>
      <c r="N120" s="29"/>
      <c r="O120" s="29"/>
      <c r="P120" s="29"/>
    </row>
    <row r="121" spans="4:16" x14ac:dyDescent="0.2">
      <c r="D121" s="29"/>
      <c r="E121" s="29" t="s">
        <v>148</v>
      </c>
      <c r="F121" s="29"/>
      <c r="G121" s="29"/>
      <c r="H121" s="31"/>
      <c r="I121" s="31"/>
      <c r="K121" s="153">
        <v>2</v>
      </c>
      <c r="L121" s="31"/>
      <c r="M121" s="31"/>
      <c r="N121" s="29"/>
      <c r="O121" s="29"/>
      <c r="P121" s="29"/>
    </row>
    <row r="122" spans="4:16" x14ac:dyDescent="0.2">
      <c r="D122" s="29"/>
      <c r="E122" s="29" t="s">
        <v>149</v>
      </c>
      <c r="F122" s="29"/>
      <c r="G122" s="29"/>
      <c r="H122" s="31"/>
      <c r="I122" s="31"/>
      <c r="K122" s="53">
        <f>K121/K120</f>
        <v>0.2</v>
      </c>
      <c r="L122" s="31"/>
      <c r="M122" s="31"/>
      <c r="N122" s="29"/>
      <c r="O122" s="29"/>
      <c r="P122" s="29"/>
    </row>
    <row r="123" spans="4:16" x14ac:dyDescent="0.2">
      <c r="D123" s="29"/>
      <c r="E123" s="29" t="s">
        <v>150</v>
      </c>
      <c r="F123" s="29"/>
      <c r="G123" s="29"/>
      <c r="H123" s="31"/>
      <c r="I123" s="31"/>
      <c r="K123" s="154">
        <v>8</v>
      </c>
      <c r="L123" s="31"/>
      <c r="M123" s="31"/>
      <c r="N123" s="29"/>
      <c r="O123" s="29"/>
      <c r="P123" s="29"/>
    </row>
    <row r="124" spans="4:16" x14ac:dyDescent="0.2">
      <c r="D124" s="29"/>
      <c r="E124" s="29" t="s">
        <v>121</v>
      </c>
      <c r="F124" s="29"/>
      <c r="G124" s="29"/>
      <c r="H124" s="31"/>
      <c r="I124" s="31"/>
      <c r="K124" s="38">
        <f>K121*-K123</f>
        <v>-16</v>
      </c>
      <c r="L124" s="31"/>
      <c r="M124" s="31"/>
      <c r="N124" s="29"/>
      <c r="O124" s="29"/>
      <c r="P124" s="29"/>
    </row>
    <row r="125" spans="4:16" x14ac:dyDescent="0.2">
      <c r="D125" s="29"/>
      <c r="E125" s="29"/>
      <c r="F125" s="29"/>
      <c r="G125" s="29"/>
      <c r="H125" s="31"/>
      <c r="I125" s="31"/>
      <c r="K125" s="31"/>
      <c r="L125" s="31"/>
      <c r="M125" s="31"/>
      <c r="N125" s="29"/>
      <c r="O125" s="29"/>
      <c r="P125" s="29"/>
    </row>
    <row r="126" spans="4:16" x14ac:dyDescent="0.2">
      <c r="D126" s="29"/>
      <c r="E126" s="29" t="s">
        <v>151</v>
      </c>
      <c r="F126" s="29"/>
      <c r="G126" s="29"/>
      <c r="H126" s="31"/>
      <c r="I126" s="31"/>
      <c r="K126" s="38">
        <f>K120</f>
        <v>10</v>
      </c>
      <c r="L126" s="38">
        <f>K126*(1+L127)</f>
        <v>12.5</v>
      </c>
      <c r="M126" s="38">
        <f>L126*(1+M127)</f>
        <v>15.625</v>
      </c>
      <c r="N126" s="29"/>
      <c r="O126" s="29"/>
      <c r="P126" s="29"/>
    </row>
    <row r="127" spans="4:16" x14ac:dyDescent="0.2">
      <c r="D127" s="29"/>
      <c r="E127" s="51" t="s">
        <v>152</v>
      </c>
      <c r="F127" s="29"/>
      <c r="G127" s="29"/>
      <c r="H127" s="31"/>
      <c r="I127" s="31"/>
      <c r="K127" s="31"/>
      <c r="L127" s="155">
        <v>0.25</v>
      </c>
      <c r="M127" s="157">
        <v>0.25</v>
      </c>
      <c r="N127" s="29"/>
      <c r="O127" s="29"/>
      <c r="P127" s="29"/>
    </row>
    <row r="128" spans="4:16" x14ac:dyDescent="0.2">
      <c r="D128" s="29"/>
      <c r="E128" s="29" t="s">
        <v>153</v>
      </c>
      <c r="F128" s="29"/>
      <c r="G128" s="29"/>
      <c r="H128" s="31"/>
      <c r="I128" s="31"/>
      <c r="K128" s="38">
        <f>K121</f>
        <v>2</v>
      </c>
      <c r="L128" s="38">
        <f>L126*L129</f>
        <v>3.75</v>
      </c>
      <c r="M128" s="38">
        <f>M126*M129</f>
        <v>4.6875</v>
      </c>
      <c r="N128" s="29"/>
      <c r="O128" s="29"/>
      <c r="P128" s="29"/>
    </row>
    <row r="129" spans="4:16" x14ac:dyDescent="0.2">
      <c r="D129" s="29"/>
      <c r="E129" s="29" t="s">
        <v>154</v>
      </c>
      <c r="F129" s="29"/>
      <c r="G129" s="29"/>
      <c r="H129" s="31"/>
      <c r="I129" s="31"/>
      <c r="K129" s="155">
        <v>0.3</v>
      </c>
      <c r="L129" s="156">
        <v>0.3</v>
      </c>
      <c r="M129" s="157">
        <v>0.3</v>
      </c>
      <c r="N129" s="29"/>
      <c r="O129" s="29"/>
      <c r="P129" s="29"/>
    </row>
    <row r="130" spans="4:16" x14ac:dyDescent="0.2">
      <c r="D130" s="29"/>
      <c r="E130" s="29"/>
      <c r="F130" s="29"/>
      <c r="G130" s="29"/>
      <c r="H130" s="31"/>
      <c r="I130" s="31"/>
      <c r="K130" s="31"/>
      <c r="L130" s="31"/>
      <c r="M130" s="31"/>
      <c r="N130" s="29"/>
      <c r="O130" s="29"/>
      <c r="P130" s="29"/>
    </row>
    <row r="131" spans="4:16" x14ac:dyDescent="0.2">
      <c r="D131" s="29"/>
      <c r="E131" s="29" t="s">
        <v>42</v>
      </c>
      <c r="F131" s="29"/>
      <c r="G131" s="29"/>
      <c r="H131" s="31"/>
      <c r="I131" s="31"/>
      <c r="K131" s="54">
        <f>-K$126*K132</f>
        <v>-0.6</v>
      </c>
      <c r="L131" s="54">
        <f>-L$126*L132</f>
        <v>-0.75</v>
      </c>
      <c r="M131" s="54">
        <f>-M$126*M132</f>
        <v>-0.9375</v>
      </c>
      <c r="N131" s="29"/>
      <c r="O131" s="29"/>
      <c r="P131" s="29"/>
    </row>
    <row r="132" spans="4:16" x14ac:dyDescent="0.2">
      <c r="D132" s="29"/>
      <c r="E132" s="44" t="s">
        <v>128</v>
      </c>
      <c r="F132" s="29"/>
      <c r="G132" s="29"/>
      <c r="H132" s="31"/>
      <c r="I132" s="31"/>
      <c r="K132" s="158">
        <v>0.06</v>
      </c>
      <c r="L132" s="159">
        <f>K132</f>
        <v>0.06</v>
      </c>
      <c r="M132" s="160">
        <f>L132</f>
        <v>0.06</v>
      </c>
      <c r="N132" s="29"/>
      <c r="O132" s="29"/>
      <c r="P132" s="29"/>
    </row>
    <row r="133" spans="4:16" x14ac:dyDescent="0.2">
      <c r="D133" s="29"/>
      <c r="E133" s="29"/>
      <c r="F133" s="29"/>
      <c r="G133" s="29"/>
      <c r="H133" s="31"/>
      <c r="I133" s="31"/>
      <c r="K133" s="29"/>
      <c r="L133" s="29"/>
      <c r="M133" s="29"/>
      <c r="N133" s="29"/>
      <c r="O133" s="29"/>
      <c r="P133" s="29"/>
    </row>
    <row r="134" spans="4:16" x14ac:dyDescent="0.2">
      <c r="D134" s="29"/>
      <c r="E134" s="29" t="s">
        <v>119</v>
      </c>
      <c r="F134" s="29"/>
      <c r="G134" s="29"/>
      <c r="H134" s="31"/>
      <c r="I134" s="31"/>
      <c r="K134" s="54">
        <f>-K$126*K135</f>
        <v>-0.3</v>
      </c>
      <c r="L134" s="54">
        <f>-L$126*L135</f>
        <v>-0.375</v>
      </c>
      <c r="M134" s="54">
        <f>-M$126*M135</f>
        <v>-0.46875</v>
      </c>
      <c r="N134" s="29"/>
      <c r="O134" s="29"/>
      <c r="P134" s="29"/>
    </row>
    <row r="135" spans="4:16" x14ac:dyDescent="0.2">
      <c r="D135" s="29"/>
      <c r="E135" s="44" t="s">
        <v>128</v>
      </c>
      <c r="F135" s="29"/>
      <c r="G135" s="29"/>
      <c r="H135" s="31"/>
      <c r="I135" s="31"/>
      <c r="K135" s="158">
        <v>0.03</v>
      </c>
      <c r="L135" s="159">
        <f>K135</f>
        <v>0.03</v>
      </c>
      <c r="M135" s="160">
        <f>L135</f>
        <v>0.03</v>
      </c>
      <c r="N135" s="29"/>
      <c r="O135" s="29"/>
      <c r="P135" s="29"/>
    </row>
    <row r="136" spans="4:16" x14ac:dyDescent="0.2">
      <c r="D136" s="29"/>
      <c r="E136" s="29"/>
      <c r="F136" s="29"/>
      <c r="G136" s="29"/>
      <c r="H136" s="31"/>
      <c r="I136" s="31"/>
      <c r="K136" s="29"/>
      <c r="L136" s="29"/>
      <c r="M136" s="29"/>
      <c r="N136" s="29"/>
      <c r="O136" s="29"/>
      <c r="P136" s="29"/>
    </row>
    <row r="137" spans="4:16" x14ac:dyDescent="0.2">
      <c r="D137" s="29"/>
      <c r="E137" s="29" t="s">
        <v>129</v>
      </c>
      <c r="F137" s="29"/>
      <c r="G137" s="29"/>
      <c r="H137" s="31"/>
      <c r="I137" s="31"/>
      <c r="K137" s="54">
        <f>K$126*K138</f>
        <v>0.1</v>
      </c>
      <c r="L137" s="54">
        <f>L$126*L138</f>
        <v>0.125</v>
      </c>
      <c r="M137" s="54">
        <f>M$126*M138</f>
        <v>0.15625</v>
      </c>
      <c r="N137" s="29"/>
      <c r="O137" s="29"/>
      <c r="P137" s="29"/>
    </row>
    <row r="138" spans="4:16" x14ac:dyDescent="0.2">
      <c r="D138" s="29"/>
      <c r="E138" s="44" t="s">
        <v>128</v>
      </c>
      <c r="F138" s="29"/>
      <c r="G138" s="29"/>
      <c r="H138" s="31"/>
      <c r="I138" s="31"/>
      <c r="K138" s="158">
        <v>0.01</v>
      </c>
      <c r="L138" s="159">
        <f>K138</f>
        <v>0.01</v>
      </c>
      <c r="M138" s="160">
        <f>L138</f>
        <v>0.01</v>
      </c>
      <c r="N138" s="29"/>
      <c r="O138" s="29"/>
      <c r="P138" s="29"/>
    </row>
    <row r="139" spans="4:16" x14ac:dyDescent="0.2">
      <c r="D139" s="29"/>
      <c r="E139" s="44"/>
      <c r="F139" s="29"/>
      <c r="G139" s="29"/>
      <c r="H139" s="31"/>
      <c r="I139" s="31"/>
      <c r="J139" s="31"/>
      <c r="K139" s="31"/>
      <c r="L139" s="31"/>
      <c r="M139" s="31"/>
      <c r="N139" s="29"/>
      <c r="O139" s="29"/>
      <c r="P139" s="29"/>
    </row>
    <row r="140" spans="4:16" x14ac:dyDescent="0.2">
      <c r="D140" s="29"/>
      <c r="E140" s="36" t="s">
        <v>156</v>
      </c>
      <c r="F140" s="36"/>
      <c r="G140" s="36"/>
      <c r="H140" s="52"/>
      <c r="I140" s="59"/>
      <c r="J140" s="59"/>
      <c r="K140" s="59"/>
      <c r="L140" s="59"/>
      <c r="M140" s="59"/>
      <c r="N140" s="29"/>
      <c r="O140" s="29"/>
      <c r="P140" s="29"/>
    </row>
    <row r="141" spans="4:16" x14ac:dyDescent="0.2">
      <c r="D141" s="29"/>
      <c r="E141" s="29"/>
      <c r="F141" s="29"/>
      <c r="G141" s="29"/>
      <c r="H141" s="31"/>
      <c r="I141" s="31"/>
      <c r="J141" s="31"/>
      <c r="K141" s="31"/>
      <c r="L141" s="31"/>
      <c r="M141" s="31"/>
      <c r="N141" s="29"/>
      <c r="O141" s="29"/>
      <c r="P141" s="29"/>
    </row>
    <row r="142" spans="4:16" x14ac:dyDescent="0.2">
      <c r="D142" s="29"/>
      <c r="E142" s="29" t="s">
        <v>147</v>
      </c>
      <c r="F142" s="29"/>
      <c r="G142" s="29"/>
      <c r="H142" s="31"/>
      <c r="I142" s="31"/>
      <c r="J142" s="31"/>
      <c r="L142" s="152">
        <v>10</v>
      </c>
      <c r="M142" s="31"/>
      <c r="N142" s="31"/>
      <c r="O142" s="29"/>
      <c r="P142" s="29"/>
    </row>
    <row r="143" spans="4:16" x14ac:dyDescent="0.2">
      <c r="D143" s="29"/>
      <c r="E143" s="29" t="s">
        <v>148</v>
      </c>
      <c r="F143" s="29"/>
      <c r="G143" s="29"/>
      <c r="H143" s="31"/>
      <c r="I143" s="31"/>
      <c r="J143" s="31"/>
      <c r="L143" s="153">
        <v>2</v>
      </c>
      <c r="M143" s="31"/>
      <c r="N143" s="31"/>
      <c r="O143" s="29"/>
      <c r="P143" s="29"/>
    </row>
    <row r="144" spans="4:16" x14ac:dyDescent="0.2">
      <c r="D144" s="29"/>
      <c r="E144" s="29" t="s">
        <v>149</v>
      </c>
      <c r="F144" s="29"/>
      <c r="G144" s="29"/>
      <c r="H144" s="31"/>
      <c r="I144" s="31"/>
      <c r="J144" s="31"/>
      <c r="L144" s="53">
        <f>L143/L142</f>
        <v>0.2</v>
      </c>
      <c r="M144" s="31"/>
      <c r="N144" s="31"/>
      <c r="O144" s="29"/>
      <c r="P144" s="29"/>
    </row>
    <row r="145" spans="4:16" x14ac:dyDescent="0.2">
      <c r="D145" s="29"/>
      <c r="E145" s="29" t="s">
        <v>150</v>
      </c>
      <c r="F145" s="29"/>
      <c r="G145" s="29"/>
      <c r="H145" s="31"/>
      <c r="I145" s="31"/>
      <c r="J145" s="31"/>
      <c r="L145" s="154">
        <v>8</v>
      </c>
      <c r="M145" s="31"/>
      <c r="N145" s="31"/>
      <c r="O145" s="29"/>
      <c r="P145" s="29"/>
    </row>
    <row r="146" spans="4:16" x14ac:dyDescent="0.2">
      <c r="D146" s="29"/>
      <c r="E146" s="29" t="s">
        <v>121</v>
      </c>
      <c r="F146" s="29"/>
      <c r="G146" s="29"/>
      <c r="H146" s="31"/>
      <c r="I146" s="31"/>
      <c r="J146" s="31"/>
      <c r="L146" s="38">
        <f>L143*-L145</f>
        <v>-16</v>
      </c>
      <c r="M146" s="31"/>
      <c r="N146" s="31"/>
      <c r="O146" s="29"/>
      <c r="P146" s="29"/>
    </row>
    <row r="147" spans="4:16" x14ac:dyDescent="0.2">
      <c r="D147" s="29"/>
      <c r="E147" s="29"/>
      <c r="F147" s="29"/>
      <c r="G147" s="29"/>
      <c r="H147" s="31"/>
      <c r="I147" s="31"/>
      <c r="J147" s="31"/>
      <c r="L147" s="31"/>
      <c r="M147" s="31"/>
      <c r="N147" s="31"/>
      <c r="O147" s="29"/>
      <c r="P147" s="29"/>
    </row>
    <row r="148" spans="4:16" x14ac:dyDescent="0.2">
      <c r="D148" s="29"/>
      <c r="E148" s="29" t="s">
        <v>151</v>
      </c>
      <c r="F148" s="29"/>
      <c r="G148" s="29"/>
      <c r="H148" s="31"/>
      <c r="I148" s="31"/>
      <c r="J148" s="31"/>
      <c r="L148" s="38">
        <f>L142</f>
        <v>10</v>
      </c>
      <c r="M148" s="38">
        <f>L148*(1+M149)</f>
        <v>12.5</v>
      </c>
      <c r="N148" s="31"/>
      <c r="O148" s="29"/>
      <c r="P148" s="29"/>
    </row>
    <row r="149" spans="4:16" x14ac:dyDescent="0.2">
      <c r="D149" s="29"/>
      <c r="E149" s="51" t="s">
        <v>152</v>
      </c>
      <c r="F149" s="29"/>
      <c r="G149" s="29"/>
      <c r="H149" s="31"/>
      <c r="I149" s="31"/>
      <c r="J149" s="31"/>
      <c r="L149" s="31"/>
      <c r="M149" s="161">
        <v>0.25</v>
      </c>
      <c r="N149" s="31"/>
      <c r="O149" s="29"/>
      <c r="P149" s="29"/>
    </row>
    <row r="150" spans="4:16" x14ac:dyDescent="0.2">
      <c r="D150" s="29"/>
      <c r="E150" s="29" t="s">
        <v>153</v>
      </c>
      <c r="F150" s="29"/>
      <c r="G150" s="29"/>
      <c r="H150" s="31"/>
      <c r="I150" s="31"/>
      <c r="J150" s="31"/>
      <c r="L150" s="38">
        <f>L143</f>
        <v>2</v>
      </c>
      <c r="M150" s="38">
        <f>M148*M151</f>
        <v>3.75</v>
      </c>
      <c r="N150" s="31"/>
      <c r="O150" s="29"/>
      <c r="P150" s="29"/>
    </row>
    <row r="151" spans="4:16" x14ac:dyDescent="0.2">
      <c r="D151" s="29"/>
      <c r="E151" s="29" t="s">
        <v>154</v>
      </c>
      <c r="F151" s="29"/>
      <c r="G151" s="29"/>
      <c r="H151" s="31"/>
      <c r="I151" s="31"/>
      <c r="J151" s="31"/>
      <c r="L151" s="155">
        <v>0.3</v>
      </c>
      <c r="M151" s="157">
        <v>0.3</v>
      </c>
      <c r="N151" s="31"/>
      <c r="O151" s="29"/>
      <c r="P151" s="29"/>
    </row>
    <row r="152" spans="4:16" x14ac:dyDescent="0.2">
      <c r="D152" s="29"/>
      <c r="E152" s="29"/>
      <c r="F152" s="29"/>
      <c r="G152" s="29"/>
      <c r="H152" s="31"/>
      <c r="I152" s="31"/>
      <c r="J152" s="31"/>
      <c r="L152" s="31"/>
      <c r="M152" s="31"/>
      <c r="N152" s="29"/>
      <c r="O152" s="29"/>
      <c r="P152" s="29"/>
    </row>
    <row r="153" spans="4:16" x14ac:dyDescent="0.2">
      <c r="D153" s="29"/>
      <c r="E153" s="29" t="s">
        <v>42</v>
      </c>
      <c r="F153" s="29"/>
      <c r="G153" s="29"/>
      <c r="H153" s="31"/>
      <c r="I153" s="31"/>
      <c r="J153" s="31"/>
      <c r="L153" s="54">
        <f>-L$148*L154</f>
        <v>-0.6</v>
      </c>
      <c r="M153" s="54">
        <f>-M$148*M154</f>
        <v>-0.75</v>
      </c>
      <c r="N153" s="29"/>
      <c r="O153" s="29"/>
      <c r="P153" s="29"/>
    </row>
    <row r="154" spans="4:16" x14ac:dyDescent="0.2">
      <c r="D154" s="29"/>
      <c r="E154" s="44" t="s">
        <v>128</v>
      </c>
      <c r="F154" s="29"/>
      <c r="G154" s="29"/>
      <c r="H154" s="31"/>
      <c r="I154" s="31"/>
      <c r="J154" s="31"/>
      <c r="L154" s="158">
        <v>0.06</v>
      </c>
      <c r="M154" s="160">
        <f>L154</f>
        <v>0.06</v>
      </c>
      <c r="N154" s="29"/>
      <c r="O154" s="29"/>
      <c r="P154" s="29"/>
    </row>
    <row r="155" spans="4:16" x14ac:dyDescent="0.2">
      <c r="D155" s="29"/>
      <c r="E155" s="29"/>
      <c r="F155" s="29"/>
      <c r="G155" s="29"/>
      <c r="H155" s="31"/>
      <c r="I155" s="31"/>
      <c r="J155" s="31"/>
      <c r="L155" s="29"/>
      <c r="M155" s="29"/>
      <c r="N155" s="29"/>
      <c r="O155" s="29"/>
      <c r="P155" s="29"/>
    </row>
    <row r="156" spans="4:16" x14ac:dyDescent="0.2">
      <c r="D156" s="29"/>
      <c r="E156" s="29" t="s">
        <v>119</v>
      </c>
      <c r="F156" s="29"/>
      <c r="G156" s="29"/>
      <c r="H156" s="31"/>
      <c r="I156" s="31"/>
      <c r="J156" s="31"/>
      <c r="L156" s="54">
        <f>-L$148*L157</f>
        <v>-0.3</v>
      </c>
      <c r="M156" s="54">
        <f>-M$148*M157</f>
        <v>-0.375</v>
      </c>
      <c r="N156" s="29"/>
      <c r="O156" s="29"/>
      <c r="P156" s="29"/>
    </row>
    <row r="157" spans="4:16" x14ac:dyDescent="0.2">
      <c r="D157" s="29"/>
      <c r="E157" s="44" t="s">
        <v>128</v>
      </c>
      <c r="F157" s="29"/>
      <c r="G157" s="29"/>
      <c r="H157" s="31"/>
      <c r="I157" s="31"/>
      <c r="J157" s="31"/>
      <c r="L157" s="158">
        <v>0.03</v>
      </c>
      <c r="M157" s="160">
        <f>L157</f>
        <v>0.03</v>
      </c>
      <c r="N157" s="29"/>
      <c r="O157" s="29"/>
      <c r="P157" s="29"/>
    </row>
    <row r="158" spans="4:16" x14ac:dyDescent="0.2">
      <c r="D158" s="29"/>
      <c r="E158" s="29"/>
      <c r="F158" s="29"/>
      <c r="G158" s="29"/>
      <c r="H158" s="31"/>
      <c r="I158" s="31"/>
      <c r="J158" s="31"/>
      <c r="L158" s="29"/>
      <c r="M158" s="29"/>
      <c r="N158" s="29"/>
      <c r="O158" s="29"/>
      <c r="P158" s="29"/>
    </row>
    <row r="159" spans="4:16" x14ac:dyDescent="0.2">
      <c r="D159" s="29"/>
      <c r="E159" s="29" t="s">
        <v>129</v>
      </c>
      <c r="F159" s="29"/>
      <c r="G159" s="29"/>
      <c r="H159" s="31"/>
      <c r="I159" s="31"/>
      <c r="J159" s="31"/>
      <c r="L159" s="54">
        <f>L$148*L160</f>
        <v>0.1</v>
      </c>
      <c r="M159" s="54">
        <f>M$148*M160</f>
        <v>0.125</v>
      </c>
      <c r="N159" s="29"/>
      <c r="O159" s="29"/>
      <c r="P159" s="29"/>
    </row>
    <row r="160" spans="4:16" x14ac:dyDescent="0.2">
      <c r="D160" s="29"/>
      <c r="E160" s="44" t="s">
        <v>128</v>
      </c>
      <c r="F160" s="29"/>
      <c r="G160" s="29"/>
      <c r="H160" s="31"/>
      <c r="I160" s="31"/>
      <c r="J160" s="31"/>
      <c r="L160" s="158">
        <v>0.01</v>
      </c>
      <c r="M160" s="160">
        <f>L160</f>
        <v>0.01</v>
      </c>
      <c r="N160" s="29"/>
      <c r="O160" s="29"/>
      <c r="P160" s="29"/>
    </row>
    <row r="163" spans="1:17" x14ac:dyDescent="0.2">
      <c r="A163" s="169" t="s">
        <v>274</v>
      </c>
      <c r="B163" s="169"/>
      <c r="C163" s="169"/>
      <c r="D163" s="169"/>
      <c r="E163" s="169"/>
      <c r="F163" s="169"/>
      <c r="G163" s="169"/>
      <c r="H163" s="174"/>
      <c r="I163" s="174"/>
      <c r="J163" s="174"/>
      <c r="K163" s="174"/>
      <c r="L163" s="174"/>
      <c r="M163" s="174"/>
      <c r="N163" s="169"/>
      <c r="O163" s="169"/>
      <c r="P163" s="169"/>
      <c r="Q163" s="169"/>
    </row>
  </sheetData>
  <pageMargins left="0.7" right="0.7" top="0.75" bottom="0.75" header="0.3" footer="0.3"/>
  <pageSetup paperSize="9" scale="2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4EA32-F426-4F77-9252-E15D2F5FDC51}">
  <sheetPr>
    <tabColor theme="9" tint="0.39997558519241921"/>
  </sheetPr>
  <dimension ref="A1:P46"/>
  <sheetViews>
    <sheetView showGridLines="0" view="pageBreakPreview" zoomScaleNormal="100" zoomScaleSheetLayoutView="100" workbookViewId="0">
      <pane xSplit="6" ySplit="11" topLeftCell="G12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1" max="4" width="1.83203125" customWidth="1"/>
    <col min="5" max="5" width="46" bestFit="1" customWidth="1"/>
    <col min="6" max="6" width="17.33203125" customWidth="1"/>
    <col min="7" max="7" width="3.83203125" customWidth="1"/>
    <col min="8" max="15" width="10.6640625" style="24" customWidth="1"/>
    <col min="16" max="16" width="4.6640625" customWidth="1"/>
  </cols>
  <sheetData>
    <row r="1" spans="1:16" ht="19" x14ac:dyDescent="0.25">
      <c r="A1" s="165" t="str" cm="1">
        <f t="array" aca="1" ref="A1" ca="1">MID(CELL("filename",E1),FIND("]",CELL("filename",E1))+1,255)</f>
        <v>Financials</v>
      </c>
      <c r="B1" s="165"/>
      <c r="C1" s="165"/>
      <c r="D1" s="165"/>
      <c r="E1" s="165"/>
      <c r="F1" s="165"/>
      <c r="G1" s="165"/>
      <c r="H1" s="175"/>
      <c r="I1" s="175"/>
      <c r="J1" s="175"/>
      <c r="K1" s="175"/>
      <c r="L1" s="175"/>
      <c r="M1" s="175"/>
      <c r="N1" s="175"/>
      <c r="O1" s="175"/>
      <c r="P1" s="169"/>
    </row>
    <row r="3" spans="1:16" s="29" customFormat="1" ht="14" x14ac:dyDescent="0.2">
      <c r="E3" s="25" t="s">
        <v>172</v>
      </c>
      <c r="F3" s="25"/>
      <c r="G3" s="25"/>
      <c r="H3" s="26">
        <v>44562</v>
      </c>
      <c r="I3" s="26">
        <f t="shared" ref="I3:K3" si="0">EDATE(H3,12)</f>
        <v>44927</v>
      </c>
      <c r="J3" s="26">
        <f t="shared" si="0"/>
        <v>45292</v>
      </c>
      <c r="K3" s="26">
        <f t="shared" si="0"/>
        <v>45658</v>
      </c>
      <c r="L3" s="26">
        <f t="shared" ref="L3:O3" si="1">EDATE(K3,12)</f>
        <v>46023</v>
      </c>
      <c r="M3" s="26">
        <f t="shared" si="1"/>
        <v>46388</v>
      </c>
      <c r="N3" s="26">
        <f t="shared" si="1"/>
        <v>46753</v>
      </c>
      <c r="O3" s="26">
        <f t="shared" si="1"/>
        <v>47119</v>
      </c>
    </row>
    <row r="4" spans="1:16" s="29" customFormat="1" ht="14" x14ac:dyDescent="0.2">
      <c r="E4" s="25" t="s">
        <v>173</v>
      </c>
      <c r="F4" s="25"/>
      <c r="G4" s="25"/>
      <c r="H4" s="26">
        <f>EOMONTH(H3,11)</f>
        <v>44926</v>
      </c>
      <c r="I4" s="26">
        <f>EOMONTH(I3,11)</f>
        <v>45291</v>
      </c>
      <c r="J4" s="26">
        <f>EOMONTH(J3,11)</f>
        <v>45657</v>
      </c>
      <c r="K4" s="26">
        <f>EOMONTH(K3,11)</f>
        <v>46022</v>
      </c>
      <c r="L4" s="26">
        <f t="shared" ref="L4:O4" si="2">EOMONTH(L3,11)</f>
        <v>46387</v>
      </c>
      <c r="M4" s="26">
        <f t="shared" si="2"/>
        <v>46752</v>
      </c>
      <c r="N4" s="26">
        <f t="shared" si="2"/>
        <v>47118</v>
      </c>
      <c r="O4" s="26">
        <f t="shared" si="2"/>
        <v>47483</v>
      </c>
    </row>
    <row r="5" spans="1:16" s="29" customFormat="1" ht="14" x14ac:dyDescent="0.2">
      <c r="E5" s="25" t="s">
        <v>174</v>
      </c>
      <c r="F5" s="25"/>
      <c r="G5" s="25"/>
      <c r="H5" s="27">
        <f>YEAR(H4)</f>
        <v>2022</v>
      </c>
      <c r="I5" s="27">
        <f t="shared" ref="I5:O5" si="3">YEAR(I4)</f>
        <v>2023</v>
      </c>
      <c r="J5" s="27">
        <f t="shared" si="3"/>
        <v>2024</v>
      </c>
      <c r="K5" s="27">
        <f t="shared" si="3"/>
        <v>2025</v>
      </c>
      <c r="L5" s="27">
        <f t="shared" si="3"/>
        <v>2026</v>
      </c>
      <c r="M5" s="27">
        <f t="shared" si="3"/>
        <v>2027</v>
      </c>
      <c r="N5" s="27">
        <f t="shared" si="3"/>
        <v>2028</v>
      </c>
      <c r="O5" s="27">
        <f t="shared" si="3"/>
        <v>2029</v>
      </c>
    </row>
    <row r="6" spans="1:16" s="29" customFormat="1" ht="14" x14ac:dyDescent="0.2">
      <c r="E6" s="25" t="s">
        <v>175</v>
      </c>
      <c r="F6" s="25"/>
      <c r="G6" s="25"/>
      <c r="H6" s="27">
        <f t="shared" ref="H6:O6" si="4">ROUNDUP(MONTH(H4)/3,0)</f>
        <v>4</v>
      </c>
      <c r="I6" s="27">
        <f t="shared" si="4"/>
        <v>4</v>
      </c>
      <c r="J6" s="27">
        <f t="shared" si="4"/>
        <v>4</v>
      </c>
      <c r="K6" s="27">
        <f t="shared" si="4"/>
        <v>4</v>
      </c>
      <c r="L6" s="27">
        <f t="shared" si="4"/>
        <v>4</v>
      </c>
      <c r="M6" s="27">
        <f t="shared" si="4"/>
        <v>4</v>
      </c>
      <c r="N6" s="27">
        <f t="shared" si="4"/>
        <v>4</v>
      </c>
      <c r="O6" s="27">
        <f t="shared" si="4"/>
        <v>4</v>
      </c>
    </row>
    <row r="7" spans="1:16" s="29" customFormat="1" ht="14" x14ac:dyDescent="0.2">
      <c r="E7" s="25" t="s">
        <v>176</v>
      </c>
      <c r="F7" s="25"/>
      <c r="G7" s="25"/>
      <c r="H7" s="27">
        <f t="shared" ref="H7:O7" si="5">MONTH(H4)</f>
        <v>12</v>
      </c>
      <c r="I7" s="27">
        <f t="shared" si="5"/>
        <v>12</v>
      </c>
      <c r="J7" s="27">
        <f t="shared" si="5"/>
        <v>12</v>
      </c>
      <c r="K7" s="27">
        <f t="shared" si="5"/>
        <v>12</v>
      </c>
      <c r="L7" s="27">
        <f t="shared" si="5"/>
        <v>12</v>
      </c>
      <c r="M7" s="27">
        <f t="shared" si="5"/>
        <v>12</v>
      </c>
      <c r="N7" s="27">
        <f t="shared" si="5"/>
        <v>12</v>
      </c>
      <c r="O7" s="27">
        <f t="shared" si="5"/>
        <v>12</v>
      </c>
    </row>
    <row r="8" spans="1:16" s="29" customFormat="1" ht="14" x14ac:dyDescent="0.2">
      <c r="E8" s="25" t="s">
        <v>177</v>
      </c>
      <c r="F8" s="25"/>
      <c r="G8" s="25"/>
      <c r="H8" s="27">
        <f>1</f>
        <v>1</v>
      </c>
      <c r="I8" s="27">
        <f>H8+1</f>
        <v>2</v>
      </c>
      <c r="J8" s="27">
        <f t="shared" ref="J8:O8" si="6">I8+1</f>
        <v>3</v>
      </c>
      <c r="K8" s="27">
        <f t="shared" si="6"/>
        <v>4</v>
      </c>
      <c r="L8" s="27">
        <f t="shared" si="6"/>
        <v>5</v>
      </c>
      <c r="M8" s="27">
        <f t="shared" si="6"/>
        <v>6</v>
      </c>
      <c r="N8" s="27">
        <f t="shared" si="6"/>
        <v>7</v>
      </c>
      <c r="O8" s="27">
        <f t="shared" si="6"/>
        <v>8</v>
      </c>
    </row>
    <row r="9" spans="1:16" s="29" customFormat="1" ht="14" x14ac:dyDescent="0.2">
      <c r="E9" s="25" t="s">
        <v>178</v>
      </c>
      <c r="F9" s="25"/>
      <c r="G9" s="25"/>
      <c r="H9" s="27" t="s">
        <v>180</v>
      </c>
      <c r="I9" s="27" t="s">
        <v>180</v>
      </c>
      <c r="J9" s="27" t="s">
        <v>180</v>
      </c>
      <c r="K9" s="27" t="s">
        <v>180</v>
      </c>
      <c r="L9" s="27" t="s">
        <v>180</v>
      </c>
      <c r="M9" s="27" t="s">
        <v>180</v>
      </c>
      <c r="N9" s="27" t="s">
        <v>180</v>
      </c>
      <c r="O9" s="27" t="s">
        <v>180</v>
      </c>
    </row>
    <row r="10" spans="1:16" s="29" customFormat="1" ht="14" x14ac:dyDescent="0.2">
      <c r="E10" s="25" t="s">
        <v>179</v>
      </c>
      <c r="F10" s="25"/>
      <c r="G10" s="25"/>
      <c r="H10" s="28" t="s">
        <v>157</v>
      </c>
      <c r="I10" s="28" t="s">
        <v>157</v>
      </c>
      <c r="J10" s="28" t="s">
        <v>157</v>
      </c>
      <c r="K10" s="28" t="s">
        <v>157</v>
      </c>
      <c r="L10" s="28" t="s">
        <v>114</v>
      </c>
      <c r="M10" s="28" t="s">
        <v>114</v>
      </c>
      <c r="N10" s="28" t="s">
        <v>114</v>
      </c>
      <c r="O10" s="28" t="s">
        <v>114</v>
      </c>
    </row>
    <row r="11" spans="1:16" s="29" customFormat="1" ht="14" x14ac:dyDescent="0.2">
      <c r="E11" s="25" t="s">
        <v>113</v>
      </c>
      <c r="F11" s="25"/>
      <c r="G11" s="25"/>
      <c r="H11" s="28"/>
      <c r="I11" s="28"/>
      <c r="J11" s="28"/>
      <c r="K11" s="28"/>
      <c r="L11" s="28"/>
      <c r="M11" s="28"/>
      <c r="N11" s="28"/>
      <c r="O11" s="28"/>
    </row>
    <row r="12" spans="1:16" s="29" customFormat="1" ht="14" x14ac:dyDescent="0.2">
      <c r="H12" s="31"/>
      <c r="I12" s="31"/>
      <c r="J12" s="31"/>
      <c r="K12" s="31"/>
      <c r="L12" s="31"/>
      <c r="M12" s="31"/>
      <c r="N12" s="31"/>
      <c r="O12" s="31"/>
    </row>
    <row r="13" spans="1:16" s="29" customFormat="1" ht="14" x14ac:dyDescent="0.2">
      <c r="E13" s="29" t="s">
        <v>158</v>
      </c>
      <c r="H13" s="176">
        <f>'Revenue Buildup'!H20</f>
        <v>20</v>
      </c>
      <c r="I13" s="176">
        <f>'Revenue Buildup'!I20</f>
        <v>24.939999999999998</v>
      </c>
      <c r="J13" s="176">
        <f>'Revenue Buildup'!J20</f>
        <v>31.1296</v>
      </c>
      <c r="K13" s="176">
        <f>'Revenue Buildup'!K20</f>
        <v>38.892303999999996</v>
      </c>
      <c r="L13" s="176">
        <f>'Revenue Buildup'!L20</f>
        <v>48.637216959999996</v>
      </c>
      <c r="M13" s="176">
        <f>'Revenue Buildup'!M20</f>
        <v>60.882153030399998</v>
      </c>
      <c r="N13" s="176">
        <f>'Revenue Buildup'!N20</f>
        <v>76.283094157695999</v>
      </c>
      <c r="O13" s="176">
        <f>'Revenue Buildup'!O20</f>
        <v>95.671771515543028</v>
      </c>
    </row>
    <row r="14" spans="1:16" s="29" customFormat="1" ht="14" x14ac:dyDescent="0.2">
      <c r="E14" s="51" t="s">
        <v>159</v>
      </c>
      <c r="H14" s="96"/>
      <c r="I14" s="96">
        <f>I13/H13-1</f>
        <v>0.24699999999999989</v>
      </c>
      <c r="J14" s="96">
        <f t="shared" ref="J14:O14" si="7">J13/I13-1</f>
        <v>0.24817963111467534</v>
      </c>
      <c r="K14" s="96">
        <f t="shared" si="7"/>
        <v>0.24936729029605242</v>
      </c>
      <c r="L14" s="96">
        <f t="shared" si="7"/>
        <v>0.25056147252165872</v>
      </c>
      <c r="M14" s="96">
        <f t="shared" si="7"/>
        <v>0.25176062356673135</v>
      </c>
      <c r="N14" s="96">
        <f t="shared" si="7"/>
        <v>0.25296314865221547</v>
      </c>
      <c r="O14" s="96">
        <f t="shared" si="7"/>
        <v>0.25416742165394912</v>
      </c>
    </row>
    <row r="15" spans="1:16" s="29" customFormat="1" ht="14" x14ac:dyDescent="0.2">
      <c r="H15" s="98"/>
      <c r="I15" s="98"/>
      <c r="J15" s="98"/>
      <c r="K15" s="98"/>
      <c r="L15" s="98"/>
      <c r="M15" s="98"/>
      <c r="N15" s="98"/>
      <c r="O15" s="98"/>
    </row>
    <row r="16" spans="1:16" s="29" customFormat="1" ht="14" x14ac:dyDescent="0.2">
      <c r="E16" s="29" t="s">
        <v>0</v>
      </c>
      <c r="H16" s="176">
        <f>'Revenue Buildup'!H36</f>
        <v>17</v>
      </c>
      <c r="I16" s="176">
        <f>'Revenue Buildup'!I36</f>
        <v>21.198999999999998</v>
      </c>
      <c r="J16" s="176">
        <f>'Revenue Buildup'!J36</f>
        <v>26.460159999999998</v>
      </c>
      <c r="K16" s="176">
        <f>'Revenue Buildup'!K36</f>
        <v>33.058458399999992</v>
      </c>
      <c r="L16" s="176">
        <f>'Revenue Buildup'!L36</f>
        <v>41.341634415999998</v>
      </c>
      <c r="M16" s="176">
        <f>'Revenue Buildup'!M36</f>
        <v>51.749830075839995</v>
      </c>
      <c r="N16" s="176">
        <f>'Revenue Buildup'!N36</f>
        <v>64.840630034041581</v>
      </c>
      <c r="O16" s="176">
        <f>'Revenue Buildup'!O36</f>
        <v>81.321005788211579</v>
      </c>
    </row>
    <row r="17" spans="5:15" s="29" customFormat="1" ht="14" x14ac:dyDescent="0.2">
      <c r="E17" s="51" t="s">
        <v>160</v>
      </c>
      <c r="H17" s="96"/>
      <c r="I17" s="96">
        <f>I16/H16-1</f>
        <v>0.24699999999999989</v>
      </c>
      <c r="J17" s="96">
        <f t="shared" ref="J17:O17" si="8">J16/I16-1</f>
        <v>0.24817963111467534</v>
      </c>
      <c r="K17" s="96">
        <f t="shared" si="8"/>
        <v>0.24936729029605242</v>
      </c>
      <c r="L17" s="96">
        <f t="shared" si="8"/>
        <v>0.25056147252165895</v>
      </c>
      <c r="M17" s="96">
        <f t="shared" si="8"/>
        <v>0.25176062356673135</v>
      </c>
      <c r="N17" s="96">
        <f t="shared" si="8"/>
        <v>0.25296314865221503</v>
      </c>
      <c r="O17" s="96">
        <f t="shared" si="8"/>
        <v>0.25416742165394957</v>
      </c>
    </row>
    <row r="18" spans="5:15" s="29" customFormat="1" ht="14" x14ac:dyDescent="0.2">
      <c r="H18" s="98"/>
      <c r="I18" s="98"/>
      <c r="J18" s="98"/>
      <c r="K18" s="98"/>
      <c r="L18" s="98"/>
      <c r="M18" s="98"/>
      <c r="N18" s="98"/>
      <c r="O18" s="98"/>
    </row>
    <row r="19" spans="5:15" s="29" customFormat="1" ht="14" x14ac:dyDescent="0.2">
      <c r="E19" s="29" t="s">
        <v>2</v>
      </c>
      <c r="H19" s="38">
        <v>4</v>
      </c>
      <c r="I19" s="38">
        <v>5</v>
      </c>
      <c r="J19" s="38">
        <f>J$16*J20</f>
        <v>7.9380479999999993</v>
      </c>
      <c r="K19" s="38">
        <f t="shared" ref="K19:O19" si="9">K$16*K20</f>
        <v>9.917537519999998</v>
      </c>
      <c r="L19" s="38">
        <f t="shared" si="9"/>
        <v>12.402490324799999</v>
      </c>
      <c r="M19" s="38">
        <f t="shared" si="9"/>
        <v>15.524949022751997</v>
      </c>
      <c r="N19" s="38">
        <f t="shared" si="9"/>
        <v>19.452189010212475</v>
      </c>
      <c r="O19" s="38">
        <f t="shared" si="9"/>
        <v>24.396301736463474</v>
      </c>
    </row>
    <row r="20" spans="5:15" s="29" customFormat="1" ht="14" x14ac:dyDescent="0.2">
      <c r="E20" s="29" t="s">
        <v>3</v>
      </c>
      <c r="H20" s="96">
        <f>H19/H$16</f>
        <v>0.23529411764705882</v>
      </c>
      <c r="I20" s="96">
        <f>I19/I$16</f>
        <v>0.23586018208406059</v>
      </c>
      <c r="J20" s="162">
        <v>0.3</v>
      </c>
      <c r="K20" s="163">
        <v>0.3</v>
      </c>
      <c r="L20" s="163">
        <v>0.3</v>
      </c>
      <c r="M20" s="163">
        <v>0.3</v>
      </c>
      <c r="N20" s="163">
        <v>0.3</v>
      </c>
      <c r="O20" s="164">
        <v>0.3</v>
      </c>
    </row>
    <row r="21" spans="5:15" s="29" customFormat="1" ht="14" x14ac:dyDescent="0.2">
      <c r="H21" s="98"/>
      <c r="I21" s="98"/>
      <c r="J21" s="98"/>
      <c r="K21" s="98"/>
      <c r="L21" s="98"/>
      <c r="M21" s="98"/>
      <c r="N21" s="98"/>
      <c r="O21" s="98"/>
    </row>
    <row r="22" spans="5:15" s="29" customFormat="1" ht="14" x14ac:dyDescent="0.2">
      <c r="E22" s="29" t="s">
        <v>42</v>
      </c>
      <c r="H22" s="38">
        <v>-0.4</v>
      </c>
      <c r="I22" s="38">
        <v>-0.5</v>
      </c>
      <c r="J22" s="38">
        <f>-J$16*J23</f>
        <v>-0.66150399999999998</v>
      </c>
      <c r="K22" s="38">
        <f t="shared" ref="K22:O22" si="10">-K$16*K23</f>
        <v>-0.82646145999999987</v>
      </c>
      <c r="L22" s="38">
        <f t="shared" si="10"/>
        <v>-1.0335408604</v>
      </c>
      <c r="M22" s="38">
        <f t="shared" si="10"/>
        <v>-1.2937457518960001</v>
      </c>
      <c r="N22" s="38">
        <f t="shared" si="10"/>
        <v>-1.6210157508510397</v>
      </c>
      <c r="O22" s="38">
        <f t="shared" si="10"/>
        <v>-2.0330251447052894</v>
      </c>
    </row>
    <row r="23" spans="5:15" s="29" customFormat="1" ht="14" x14ac:dyDescent="0.2">
      <c r="E23" s="29" t="s">
        <v>3</v>
      </c>
      <c r="H23" s="96">
        <f>-H22/H$16</f>
        <v>2.3529411764705882E-2</v>
      </c>
      <c r="I23" s="96">
        <f>-I22/I$16</f>
        <v>2.358601820840606E-2</v>
      </c>
      <c r="J23" s="162">
        <v>2.5000000000000001E-2</v>
      </c>
      <c r="K23" s="163">
        <v>2.5000000000000001E-2</v>
      </c>
      <c r="L23" s="163">
        <v>2.5000000000000001E-2</v>
      </c>
      <c r="M23" s="163">
        <v>2.5000000000000001E-2</v>
      </c>
      <c r="N23" s="163">
        <v>2.5000000000000001E-2</v>
      </c>
      <c r="O23" s="164">
        <v>2.5000000000000001E-2</v>
      </c>
    </row>
    <row r="24" spans="5:15" s="29" customFormat="1" ht="14" x14ac:dyDescent="0.2">
      <c r="H24" s="98"/>
      <c r="I24" s="98"/>
      <c r="J24" s="98"/>
      <c r="K24" s="98"/>
      <c r="L24" s="98"/>
      <c r="M24" s="98"/>
      <c r="N24" s="98"/>
      <c r="O24" s="98"/>
    </row>
    <row r="25" spans="5:15" s="29" customFormat="1" ht="14" x14ac:dyDescent="0.2">
      <c r="E25" s="29" t="s">
        <v>161</v>
      </c>
      <c r="H25" s="38">
        <f>H19+H22</f>
        <v>3.6</v>
      </c>
      <c r="I25" s="38">
        <f t="shared" ref="I25:O25" si="11">I19+I22</f>
        <v>4.5</v>
      </c>
      <c r="J25" s="38">
        <f t="shared" si="11"/>
        <v>7.2765439999999995</v>
      </c>
      <c r="K25" s="38">
        <f t="shared" si="11"/>
        <v>9.0910760599999989</v>
      </c>
      <c r="L25" s="38">
        <f t="shared" si="11"/>
        <v>11.368949464399998</v>
      </c>
      <c r="M25" s="38">
        <f t="shared" si="11"/>
        <v>14.231203270855996</v>
      </c>
      <c r="N25" s="38">
        <f t="shared" si="11"/>
        <v>17.831173259361435</v>
      </c>
      <c r="O25" s="38">
        <f t="shared" si="11"/>
        <v>22.363276591758186</v>
      </c>
    </row>
    <row r="26" spans="5:15" s="29" customFormat="1" ht="14" x14ac:dyDescent="0.2">
      <c r="E26" s="29" t="s">
        <v>3</v>
      </c>
      <c r="H26" s="96">
        <f t="shared" ref="H26:O26" si="12">H25/H$16</f>
        <v>0.21176470588235294</v>
      </c>
      <c r="I26" s="96">
        <f t="shared" si="12"/>
        <v>0.21227416387565454</v>
      </c>
      <c r="J26" s="96">
        <f t="shared" si="12"/>
        <v>0.27500000000000002</v>
      </c>
      <c r="K26" s="96">
        <f t="shared" si="12"/>
        <v>0.27500000000000002</v>
      </c>
      <c r="L26" s="96">
        <f t="shared" si="12"/>
        <v>0.27499999999999997</v>
      </c>
      <c r="M26" s="96">
        <f t="shared" si="12"/>
        <v>0.27499999999999997</v>
      </c>
      <c r="N26" s="96">
        <f t="shared" si="12"/>
        <v>0.27500000000000002</v>
      </c>
      <c r="O26" s="96">
        <f t="shared" si="12"/>
        <v>0.27500000000000002</v>
      </c>
    </row>
    <row r="27" spans="5:15" s="29" customFormat="1" ht="14" x14ac:dyDescent="0.2">
      <c r="H27" s="98"/>
      <c r="I27" s="98"/>
      <c r="J27" s="98"/>
      <c r="K27" s="98"/>
      <c r="L27" s="98"/>
      <c r="M27" s="98"/>
      <c r="N27" s="98"/>
      <c r="O27" s="98"/>
    </row>
    <row r="28" spans="5:15" s="29" customFormat="1" ht="14" x14ac:dyDescent="0.2">
      <c r="E28" s="29" t="s">
        <v>162</v>
      </c>
      <c r="H28" s="38">
        <f>-H25*H29</f>
        <v>-0.72000000000000008</v>
      </c>
      <c r="I28" s="38">
        <f t="shared" ref="I28:O28" si="13">-I25*I29</f>
        <v>-0.9</v>
      </c>
      <c r="J28" s="38">
        <f t="shared" si="13"/>
        <v>-1.4553088000000001</v>
      </c>
      <c r="K28" s="38">
        <f t="shared" si="13"/>
        <v>-1.8182152119999999</v>
      </c>
      <c r="L28" s="38">
        <f t="shared" si="13"/>
        <v>-2.2737898928799996</v>
      </c>
      <c r="M28" s="38">
        <f t="shared" si="13"/>
        <v>-2.8462406541711993</v>
      </c>
      <c r="N28" s="38">
        <f t="shared" si="13"/>
        <v>-3.5662346518722874</v>
      </c>
      <c r="O28" s="38">
        <f t="shared" si="13"/>
        <v>-4.4726553183516371</v>
      </c>
    </row>
    <row r="29" spans="5:15" s="29" customFormat="1" ht="14" x14ac:dyDescent="0.2">
      <c r="E29" s="29" t="s">
        <v>163</v>
      </c>
      <c r="H29" s="162">
        <v>0.2</v>
      </c>
      <c r="I29" s="163">
        <v>0.2</v>
      </c>
      <c r="J29" s="163">
        <v>0.2</v>
      </c>
      <c r="K29" s="163">
        <v>0.2</v>
      </c>
      <c r="L29" s="163">
        <v>0.2</v>
      </c>
      <c r="M29" s="163">
        <v>0.2</v>
      </c>
      <c r="N29" s="163">
        <v>0.2</v>
      </c>
      <c r="O29" s="164">
        <v>0.2</v>
      </c>
    </row>
    <row r="30" spans="5:15" s="29" customFormat="1" ht="14" x14ac:dyDescent="0.2">
      <c r="H30" s="98"/>
      <c r="I30" s="98"/>
      <c r="J30" s="98"/>
      <c r="K30" s="98"/>
      <c r="L30" s="98"/>
      <c r="M30" s="98"/>
      <c r="N30" s="98"/>
      <c r="O30" s="98"/>
    </row>
    <row r="31" spans="5:15" s="29" customFormat="1" ht="14" x14ac:dyDescent="0.2">
      <c r="E31" s="29" t="s">
        <v>164</v>
      </c>
      <c r="H31" s="38">
        <v>-2.1</v>
      </c>
      <c r="I31" s="38">
        <v>-3</v>
      </c>
      <c r="J31" s="38">
        <f>-J$16*J32</f>
        <v>-6.7473407999999999</v>
      </c>
      <c r="K31" s="38">
        <f t="shared" ref="K31:O31" si="14">-K$16*K32</f>
        <v>-8.9919006847999992</v>
      </c>
      <c r="L31" s="38">
        <f t="shared" si="14"/>
        <v>-11.3689494644</v>
      </c>
      <c r="M31" s="38">
        <f t="shared" si="14"/>
        <v>-15.162700212221118</v>
      </c>
      <c r="N31" s="38">
        <f t="shared" si="14"/>
        <v>-19.906073420450767</v>
      </c>
      <c r="O31" s="38">
        <f t="shared" si="14"/>
        <v>-24.965548776980956</v>
      </c>
    </row>
    <row r="32" spans="5:15" s="29" customFormat="1" ht="14" x14ac:dyDescent="0.2">
      <c r="E32" s="29" t="s">
        <v>3</v>
      </c>
      <c r="H32" s="96">
        <f>-H31/H$16</f>
        <v>0.12352941176470589</v>
      </c>
      <c r="I32" s="96">
        <f>-I31/I$16</f>
        <v>0.14151610925043637</v>
      </c>
      <c r="J32" s="162">
        <v>0.255</v>
      </c>
      <c r="K32" s="163">
        <v>0.27200000000000002</v>
      </c>
      <c r="L32" s="163">
        <v>0.27500000000000002</v>
      </c>
      <c r="M32" s="163">
        <v>0.29299999999999998</v>
      </c>
      <c r="N32" s="163">
        <v>0.307</v>
      </c>
      <c r="O32" s="164">
        <v>0.307</v>
      </c>
    </row>
    <row r="33" spans="1:16" s="29" customFormat="1" ht="14" x14ac:dyDescent="0.2">
      <c r="H33" s="98"/>
      <c r="I33" s="98"/>
      <c r="J33" s="98"/>
      <c r="K33" s="98"/>
      <c r="L33" s="98"/>
      <c r="M33" s="98"/>
      <c r="N33" s="98"/>
      <c r="O33" s="98"/>
    </row>
    <row r="34" spans="1:16" s="29" customFormat="1" ht="14" x14ac:dyDescent="0.2">
      <c r="E34" s="29" t="s">
        <v>165</v>
      </c>
      <c r="H34" s="38">
        <v>-0.1</v>
      </c>
      <c r="I34" s="38">
        <f>-(I31-H31)</f>
        <v>0.89999999999999991</v>
      </c>
      <c r="J34" s="38">
        <f t="shared" ref="J34:O34" si="15">-(J31-I31)</f>
        <v>3.7473407999999999</v>
      </c>
      <c r="K34" s="38">
        <f t="shared" si="15"/>
        <v>2.2445598847999992</v>
      </c>
      <c r="L34" s="38">
        <f t="shared" si="15"/>
        <v>2.3770487796000008</v>
      </c>
      <c r="M34" s="38">
        <f t="shared" si="15"/>
        <v>3.7937507478211181</v>
      </c>
      <c r="N34" s="38">
        <f t="shared" si="15"/>
        <v>4.7433732082296487</v>
      </c>
      <c r="O34" s="38">
        <f t="shared" si="15"/>
        <v>5.0594753565301893</v>
      </c>
    </row>
    <row r="35" spans="1:16" s="29" customFormat="1" ht="14" x14ac:dyDescent="0.2">
      <c r="H35" s="98"/>
      <c r="I35" s="98"/>
      <c r="J35" s="98"/>
      <c r="K35" s="98"/>
      <c r="L35" s="98"/>
      <c r="M35" s="98"/>
      <c r="N35" s="98"/>
      <c r="O35" s="98"/>
    </row>
    <row r="36" spans="1:16" s="29" customFormat="1" ht="14" x14ac:dyDescent="0.2">
      <c r="E36" s="29" t="s">
        <v>119</v>
      </c>
      <c r="H36" s="38">
        <v>-1.1000000000000001</v>
      </c>
      <c r="I36" s="38">
        <v>-0.1</v>
      </c>
      <c r="J36" s="38">
        <f>-J$16*J37</f>
        <v>-0.71442432</v>
      </c>
      <c r="K36" s="38">
        <f t="shared" ref="K36:O36" si="16">-K$16*K37</f>
        <v>-2.3471505463999991</v>
      </c>
      <c r="L36" s="38">
        <f t="shared" si="16"/>
        <v>-1.901715183136</v>
      </c>
      <c r="M36" s="38">
        <f t="shared" si="16"/>
        <v>-1.0867464315926401</v>
      </c>
      <c r="N36" s="38">
        <f t="shared" si="16"/>
        <v>-1.102290710578707</v>
      </c>
      <c r="O36" s="38">
        <f t="shared" si="16"/>
        <v>-1.382457098399597</v>
      </c>
    </row>
    <row r="37" spans="1:16" s="29" customFormat="1" ht="14" x14ac:dyDescent="0.2">
      <c r="E37" s="29" t="s">
        <v>3</v>
      </c>
      <c r="H37" s="96">
        <f>-H36/H$16</f>
        <v>6.4705882352941183E-2</v>
      </c>
      <c r="I37" s="96">
        <f>-I36/I$16</f>
        <v>4.7172036416812122E-3</v>
      </c>
      <c r="J37" s="162">
        <v>2.7E-2</v>
      </c>
      <c r="K37" s="163">
        <v>7.0999999999999994E-2</v>
      </c>
      <c r="L37" s="163">
        <v>4.5999999999999999E-2</v>
      </c>
      <c r="M37" s="163">
        <v>2.1000000000000001E-2</v>
      </c>
      <c r="N37" s="163">
        <v>1.7000000000000001E-2</v>
      </c>
      <c r="O37" s="164">
        <v>1.7000000000000001E-2</v>
      </c>
    </row>
    <row r="38" spans="1:16" s="29" customFormat="1" ht="14" x14ac:dyDescent="0.2">
      <c r="H38" s="98"/>
      <c r="I38" s="98"/>
      <c r="J38" s="98"/>
      <c r="K38" s="98"/>
      <c r="L38" s="98"/>
      <c r="M38" s="98"/>
      <c r="N38" s="98"/>
      <c r="O38" s="98"/>
    </row>
    <row r="39" spans="1:16" s="29" customFormat="1" ht="14" x14ac:dyDescent="0.2">
      <c r="E39" s="29" t="s">
        <v>166</v>
      </c>
      <c r="H39" s="38">
        <f>H19+H34+H36</f>
        <v>2.8</v>
      </c>
      <c r="I39" s="38">
        <f t="shared" ref="I39:O39" si="17">I19+I34+I36</f>
        <v>5.8000000000000007</v>
      </c>
      <c r="J39" s="38">
        <f t="shared" si="17"/>
        <v>10.970964479999999</v>
      </c>
      <c r="K39" s="38">
        <f t="shared" si="17"/>
        <v>9.814946858399999</v>
      </c>
      <c r="L39" s="38">
        <f t="shared" si="17"/>
        <v>12.877823921264</v>
      </c>
      <c r="M39" s="38">
        <f t="shared" si="17"/>
        <v>18.231953338980475</v>
      </c>
      <c r="N39" s="38">
        <f t="shared" si="17"/>
        <v>23.093271507863417</v>
      </c>
      <c r="O39" s="38">
        <f t="shared" si="17"/>
        <v>28.073319994594065</v>
      </c>
    </row>
    <row r="40" spans="1:16" s="29" customFormat="1" ht="14" x14ac:dyDescent="0.2">
      <c r="E40" s="29" t="s">
        <v>3</v>
      </c>
      <c r="H40" s="99"/>
      <c r="I40" s="99"/>
      <c r="J40" s="99"/>
      <c r="K40" s="99"/>
      <c r="L40" s="99"/>
      <c r="M40" s="99"/>
      <c r="N40" s="99"/>
      <c r="O40" s="99"/>
    </row>
    <row r="41" spans="1:16" s="29" customFormat="1" ht="14" x14ac:dyDescent="0.2">
      <c r="H41" s="98"/>
      <c r="I41" s="98"/>
      <c r="J41" s="98"/>
      <c r="K41" s="98"/>
      <c r="L41" s="98"/>
      <c r="M41" s="98"/>
      <c r="N41" s="98"/>
      <c r="O41" s="98"/>
    </row>
    <row r="42" spans="1:16" s="29" customFormat="1" ht="14" x14ac:dyDescent="0.2">
      <c r="E42" s="29" t="s">
        <v>167</v>
      </c>
      <c r="H42" s="38">
        <f>H19+H34+H36+H28</f>
        <v>2.0799999999999996</v>
      </c>
      <c r="I42" s="38">
        <f t="shared" ref="I42:O42" si="18">I19+I34+I36+I28</f>
        <v>4.9000000000000004</v>
      </c>
      <c r="J42" s="38">
        <f t="shared" si="18"/>
        <v>9.5156556799999983</v>
      </c>
      <c r="K42" s="38">
        <f t="shared" si="18"/>
        <v>7.9967316463999989</v>
      </c>
      <c r="L42" s="38">
        <f t="shared" si="18"/>
        <v>10.604034028384</v>
      </c>
      <c r="M42" s="38">
        <f t="shared" si="18"/>
        <v>15.385712684809276</v>
      </c>
      <c r="N42" s="38">
        <f t="shared" si="18"/>
        <v>19.527036855991128</v>
      </c>
      <c r="O42" s="38">
        <f t="shared" si="18"/>
        <v>23.600664676242427</v>
      </c>
    </row>
    <row r="43" spans="1:16" s="29" customFormat="1" ht="14" x14ac:dyDescent="0.2">
      <c r="E43" s="29" t="s">
        <v>3</v>
      </c>
      <c r="H43" s="99"/>
      <c r="I43" s="99"/>
      <c r="J43" s="99"/>
      <c r="K43" s="99"/>
      <c r="L43" s="99"/>
      <c r="M43" s="99"/>
      <c r="N43" s="99"/>
      <c r="O43" s="99"/>
    </row>
    <row r="46" spans="1:16" x14ac:dyDescent="0.2">
      <c r="A46" s="169" t="s">
        <v>274</v>
      </c>
      <c r="B46" s="169"/>
      <c r="C46" s="169"/>
      <c r="D46" s="169"/>
      <c r="E46" s="169"/>
      <c r="F46" s="169"/>
      <c r="G46" s="169"/>
      <c r="H46" s="174"/>
      <c r="I46" s="174"/>
      <c r="J46" s="174"/>
      <c r="K46" s="174"/>
      <c r="L46" s="174"/>
      <c r="M46" s="174"/>
      <c r="N46" s="174"/>
      <c r="O46" s="174"/>
      <c r="P46" s="169"/>
    </row>
  </sheetData>
  <pageMargins left="0.7" right="0.7" top="0.75" bottom="0.75" header="0.3" footer="0.3"/>
  <pageSetup paperSize="9" scale="2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8E190-ADEF-C44B-9AC8-30179BCC67DA}">
  <dimension ref="A1:P48"/>
  <sheetViews>
    <sheetView showGridLines="0" view="pageBreakPreview" zoomScaleNormal="100" zoomScaleSheetLayoutView="100" workbookViewId="0">
      <pane xSplit="6" ySplit="11" topLeftCell="G12" activePane="bottomRight" state="frozen"/>
      <selection activeCell="J44" sqref="J44"/>
      <selection pane="topRight" activeCell="J44" sqref="J44"/>
      <selection pane="bottomLeft" activeCell="J44" sqref="J44"/>
      <selection pane="bottomRight"/>
    </sheetView>
  </sheetViews>
  <sheetFormatPr baseColWidth="10" defaultColWidth="8.83203125" defaultRowHeight="15" customHeight="1" x14ac:dyDescent="0.2"/>
  <cols>
    <col min="1" max="4" width="2.33203125" style="29" customWidth="1"/>
    <col min="5" max="5" width="36.6640625" style="29" customWidth="1"/>
    <col min="6" max="6" width="17.33203125" style="29" customWidth="1"/>
    <col min="7" max="7" width="10" style="29" customWidth="1"/>
    <col min="8" max="15" width="15" style="29" customWidth="1"/>
    <col min="16" max="16" width="4.6640625" customWidth="1"/>
    <col min="17" max="16384" width="8.83203125" style="29"/>
  </cols>
  <sheetData>
    <row r="1" spans="1:16" ht="15" customHeight="1" x14ac:dyDescent="0.25">
      <c r="A1" s="165" t="str" cm="1">
        <f t="array" aca="1" ref="A1" ca="1">MID(CELL("filename",B1),FIND("]",CELL("filename",B1))+1,255)</f>
        <v>Revenue Buildup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9"/>
    </row>
    <row r="3" spans="1:16" ht="15" customHeight="1" x14ac:dyDescent="0.2">
      <c r="E3" s="104" t="s">
        <v>172</v>
      </c>
      <c r="F3" s="101"/>
      <c r="G3" s="101"/>
      <c r="H3" s="102">
        <f>Financials!H3</f>
        <v>44562</v>
      </c>
      <c r="I3" s="102">
        <f>Financials!I3</f>
        <v>44927</v>
      </c>
      <c r="J3" s="102">
        <f>Financials!J3</f>
        <v>45292</v>
      </c>
      <c r="K3" s="102">
        <f>Financials!K3</f>
        <v>45658</v>
      </c>
      <c r="L3" s="102">
        <f>Financials!L3</f>
        <v>46023</v>
      </c>
      <c r="M3" s="102">
        <f>Financials!M3</f>
        <v>46388</v>
      </c>
      <c r="N3" s="102">
        <f>Financials!N3</f>
        <v>46753</v>
      </c>
      <c r="O3" s="102">
        <f>Financials!O3</f>
        <v>47119</v>
      </c>
      <c r="P3" s="29"/>
    </row>
    <row r="4" spans="1:16" ht="15" customHeight="1" x14ac:dyDescent="0.2">
      <c r="E4" s="104" t="s">
        <v>173</v>
      </c>
      <c r="F4" s="101"/>
      <c r="G4" s="101"/>
      <c r="H4" s="102">
        <f>Financials!H4</f>
        <v>44926</v>
      </c>
      <c r="I4" s="102">
        <f>Financials!I4</f>
        <v>45291</v>
      </c>
      <c r="J4" s="102">
        <f>Financials!J4</f>
        <v>45657</v>
      </c>
      <c r="K4" s="102">
        <f>Financials!K4</f>
        <v>46022</v>
      </c>
      <c r="L4" s="102">
        <f>Financials!L4</f>
        <v>46387</v>
      </c>
      <c r="M4" s="102">
        <f>Financials!M4</f>
        <v>46752</v>
      </c>
      <c r="N4" s="102">
        <f>Financials!N4</f>
        <v>47118</v>
      </c>
      <c r="O4" s="102">
        <f>Financials!O4</f>
        <v>47483</v>
      </c>
      <c r="P4" s="29"/>
    </row>
    <row r="5" spans="1:16" ht="15" customHeight="1" x14ac:dyDescent="0.2">
      <c r="E5" s="104" t="s">
        <v>174</v>
      </c>
      <c r="F5" s="101"/>
      <c r="G5" s="101"/>
      <c r="H5" s="103">
        <f>Financials!H5</f>
        <v>2022</v>
      </c>
      <c r="I5" s="103">
        <f>Financials!I5</f>
        <v>2023</v>
      </c>
      <c r="J5" s="103">
        <f>Financials!J5</f>
        <v>2024</v>
      </c>
      <c r="K5" s="103">
        <f>Financials!K5</f>
        <v>2025</v>
      </c>
      <c r="L5" s="103">
        <f>Financials!L5</f>
        <v>2026</v>
      </c>
      <c r="M5" s="103">
        <f>Financials!M5</f>
        <v>2027</v>
      </c>
      <c r="N5" s="103">
        <f>Financials!N5</f>
        <v>2028</v>
      </c>
      <c r="O5" s="103">
        <f>Financials!O5</f>
        <v>2029</v>
      </c>
      <c r="P5" s="29"/>
    </row>
    <row r="6" spans="1:16" ht="15" customHeight="1" x14ac:dyDescent="0.2">
      <c r="E6" s="104" t="s">
        <v>175</v>
      </c>
      <c r="F6" s="101"/>
      <c r="G6" s="101"/>
      <c r="H6" s="103">
        <f t="shared" ref="H6:O6" si="0">ROUNDUP(MONTH(H3)/3,0)</f>
        <v>1</v>
      </c>
      <c r="I6" s="103">
        <f t="shared" si="0"/>
        <v>1</v>
      </c>
      <c r="J6" s="103">
        <f t="shared" si="0"/>
        <v>1</v>
      </c>
      <c r="K6" s="103">
        <f t="shared" si="0"/>
        <v>1</v>
      </c>
      <c r="L6" s="103">
        <f t="shared" si="0"/>
        <v>1</v>
      </c>
      <c r="M6" s="103">
        <f t="shared" si="0"/>
        <v>1</v>
      </c>
      <c r="N6" s="103">
        <f t="shared" si="0"/>
        <v>1</v>
      </c>
      <c r="O6" s="103">
        <f t="shared" si="0"/>
        <v>1</v>
      </c>
      <c r="P6" s="29"/>
    </row>
    <row r="7" spans="1:16" ht="15" customHeight="1" x14ac:dyDescent="0.2">
      <c r="E7" s="104" t="s">
        <v>176</v>
      </c>
      <c r="F7" s="101"/>
      <c r="G7" s="101"/>
      <c r="H7" s="103">
        <f t="shared" ref="H7:O7" si="1">MONTH(H4)</f>
        <v>12</v>
      </c>
      <c r="I7" s="103">
        <f t="shared" si="1"/>
        <v>12</v>
      </c>
      <c r="J7" s="103">
        <f t="shared" si="1"/>
        <v>12</v>
      </c>
      <c r="K7" s="103">
        <f t="shared" si="1"/>
        <v>12</v>
      </c>
      <c r="L7" s="103">
        <f t="shared" si="1"/>
        <v>12</v>
      </c>
      <c r="M7" s="103">
        <f t="shared" si="1"/>
        <v>12</v>
      </c>
      <c r="N7" s="103">
        <f t="shared" si="1"/>
        <v>12</v>
      </c>
      <c r="O7" s="103">
        <f t="shared" si="1"/>
        <v>12</v>
      </c>
      <c r="P7" s="29"/>
    </row>
    <row r="8" spans="1:16" ht="15" customHeight="1" x14ac:dyDescent="0.2">
      <c r="E8" s="104" t="s">
        <v>177</v>
      </c>
      <c r="F8" s="101"/>
      <c r="G8" s="101"/>
      <c r="H8" s="103">
        <v>1</v>
      </c>
      <c r="I8" s="103">
        <f t="shared" ref="I8:O8" si="2">H8+1</f>
        <v>2</v>
      </c>
      <c r="J8" s="103">
        <f t="shared" si="2"/>
        <v>3</v>
      </c>
      <c r="K8" s="103">
        <f t="shared" si="2"/>
        <v>4</v>
      </c>
      <c r="L8" s="103">
        <f t="shared" si="2"/>
        <v>5</v>
      </c>
      <c r="M8" s="103">
        <f t="shared" si="2"/>
        <v>6</v>
      </c>
      <c r="N8" s="103">
        <f t="shared" si="2"/>
        <v>7</v>
      </c>
      <c r="O8" s="103">
        <f t="shared" si="2"/>
        <v>8</v>
      </c>
      <c r="P8" s="29"/>
    </row>
    <row r="9" spans="1:16" ht="15" customHeight="1" x14ac:dyDescent="0.2">
      <c r="E9" s="104" t="s">
        <v>178</v>
      </c>
      <c r="F9" s="101"/>
      <c r="G9" s="101"/>
      <c r="H9" s="27" t="s">
        <v>180</v>
      </c>
      <c r="I9" s="27" t="s">
        <v>180</v>
      </c>
      <c r="J9" s="27" t="s">
        <v>180</v>
      </c>
      <c r="K9" s="27" t="s">
        <v>180</v>
      </c>
      <c r="L9" s="27" t="s">
        <v>180</v>
      </c>
      <c r="M9" s="27" t="s">
        <v>180</v>
      </c>
      <c r="N9" s="27" t="s">
        <v>180</v>
      </c>
      <c r="O9" s="27" t="s">
        <v>180</v>
      </c>
      <c r="P9" s="29"/>
    </row>
    <row r="10" spans="1:16" ht="15" customHeight="1" x14ac:dyDescent="0.2">
      <c r="E10" s="104" t="s">
        <v>179</v>
      </c>
      <c r="F10" s="101"/>
      <c r="G10" s="101"/>
      <c r="H10" s="28" t="s">
        <v>157</v>
      </c>
      <c r="I10" s="28" t="s">
        <v>157</v>
      </c>
      <c r="J10" s="28" t="s">
        <v>157</v>
      </c>
      <c r="K10" s="28" t="s">
        <v>157</v>
      </c>
      <c r="L10" s="28" t="s">
        <v>114</v>
      </c>
      <c r="M10" s="28" t="s">
        <v>114</v>
      </c>
      <c r="N10" s="28" t="s">
        <v>114</v>
      </c>
      <c r="O10" s="28" t="s">
        <v>114</v>
      </c>
      <c r="P10" s="29"/>
    </row>
    <row r="11" spans="1:16" ht="15" customHeight="1" x14ac:dyDescent="0.2">
      <c r="E11" s="104" t="s">
        <v>113</v>
      </c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29"/>
    </row>
    <row r="12" spans="1:16" ht="15" customHeight="1" x14ac:dyDescent="0.2">
      <c r="P12" s="29"/>
    </row>
    <row r="13" spans="1:16" ht="15" customHeight="1" x14ac:dyDescent="0.2">
      <c r="P13" s="29"/>
    </row>
    <row r="14" spans="1:16" ht="15" customHeight="1" x14ac:dyDescent="0.2">
      <c r="E14" s="115" t="s">
        <v>181</v>
      </c>
      <c r="F14" s="115" t="s">
        <v>197</v>
      </c>
      <c r="G14" s="115"/>
      <c r="H14" s="115"/>
      <c r="I14" s="115"/>
      <c r="J14" s="115"/>
      <c r="K14" s="115"/>
      <c r="L14" s="115"/>
      <c r="M14" s="115"/>
      <c r="N14" s="115"/>
      <c r="O14" s="115"/>
      <c r="P14" s="29"/>
    </row>
    <row r="15" spans="1:16" ht="15" customHeight="1" x14ac:dyDescent="0.2">
      <c r="P15" s="29"/>
    </row>
    <row r="16" spans="1:16" ht="15" customHeight="1" x14ac:dyDescent="0.2">
      <c r="E16" s="29" t="s">
        <v>76</v>
      </c>
      <c r="F16" s="29" t="s">
        <v>198</v>
      </c>
      <c r="G16" s="126">
        <v>0.3</v>
      </c>
      <c r="H16" s="132">
        <v>6</v>
      </c>
      <c r="I16" s="54">
        <f t="shared" ref="I16:O16" si="3">H16*(1+$G$16)</f>
        <v>7.8000000000000007</v>
      </c>
      <c r="J16" s="54">
        <f t="shared" si="3"/>
        <v>10.14</v>
      </c>
      <c r="K16" s="54">
        <f t="shared" si="3"/>
        <v>13.182</v>
      </c>
      <c r="L16" s="54">
        <f t="shared" si="3"/>
        <v>17.136600000000001</v>
      </c>
      <c r="M16" s="54">
        <f t="shared" si="3"/>
        <v>22.277580000000004</v>
      </c>
      <c r="N16" s="54">
        <f t="shared" si="3"/>
        <v>28.960854000000005</v>
      </c>
      <c r="O16" s="54">
        <f t="shared" si="3"/>
        <v>37.64911020000001</v>
      </c>
      <c r="P16" s="29"/>
    </row>
    <row r="17" spans="5:16" ht="15" customHeight="1" x14ac:dyDescent="0.2">
      <c r="E17" s="29" t="s">
        <v>182</v>
      </c>
      <c r="F17" s="29" t="s">
        <v>199</v>
      </c>
      <c r="G17" s="127">
        <v>0.24</v>
      </c>
      <c r="H17" s="133">
        <v>8.5</v>
      </c>
      <c r="I17" s="54">
        <f t="shared" ref="I17:O17" si="4">H17*(1+$G$17)</f>
        <v>10.54</v>
      </c>
      <c r="J17" s="54">
        <f t="shared" si="4"/>
        <v>13.069599999999999</v>
      </c>
      <c r="K17" s="54">
        <f t="shared" si="4"/>
        <v>16.206303999999999</v>
      </c>
      <c r="L17" s="54">
        <f t="shared" si="4"/>
        <v>20.095816960000001</v>
      </c>
      <c r="M17" s="54">
        <f t="shared" si="4"/>
        <v>24.918813030399999</v>
      </c>
      <c r="N17" s="54">
        <f t="shared" si="4"/>
        <v>30.899328157695997</v>
      </c>
      <c r="O17" s="54">
        <f t="shared" si="4"/>
        <v>38.315166915543038</v>
      </c>
      <c r="P17" s="29"/>
    </row>
    <row r="18" spans="5:16" ht="15" customHeight="1" x14ac:dyDescent="0.2">
      <c r="E18" s="29" t="s">
        <v>183</v>
      </c>
      <c r="F18" s="29" t="s">
        <v>200</v>
      </c>
      <c r="G18" s="128">
        <v>0.2</v>
      </c>
      <c r="H18" s="134">
        <v>5.5</v>
      </c>
      <c r="I18" s="54">
        <f t="shared" ref="I18:O18" si="5">H18*(1+$G$18)</f>
        <v>6.6</v>
      </c>
      <c r="J18" s="54">
        <f t="shared" si="5"/>
        <v>7.919999999999999</v>
      </c>
      <c r="K18" s="54">
        <f t="shared" si="5"/>
        <v>9.5039999999999978</v>
      </c>
      <c r="L18" s="54">
        <f t="shared" si="5"/>
        <v>11.404799999999996</v>
      </c>
      <c r="M18" s="54">
        <f t="shared" si="5"/>
        <v>13.685759999999995</v>
      </c>
      <c r="N18" s="54">
        <f t="shared" si="5"/>
        <v>16.422911999999993</v>
      </c>
      <c r="O18" s="54">
        <f t="shared" si="5"/>
        <v>19.707494399999991</v>
      </c>
      <c r="P18" s="29"/>
    </row>
    <row r="19" spans="5:16" ht="15" customHeight="1" x14ac:dyDescent="0.2">
      <c r="P19" s="29"/>
    </row>
    <row r="20" spans="5:16" ht="15" customHeight="1" x14ac:dyDescent="0.2">
      <c r="E20" s="48" t="s">
        <v>184</v>
      </c>
      <c r="F20" s="49"/>
      <c r="G20" s="49"/>
      <c r="H20" s="106">
        <f t="shared" ref="H20:O20" si="6">SUM(H16:H18)</f>
        <v>20</v>
      </c>
      <c r="I20" s="106">
        <f t="shared" si="6"/>
        <v>24.939999999999998</v>
      </c>
      <c r="J20" s="106">
        <f t="shared" si="6"/>
        <v>31.1296</v>
      </c>
      <c r="K20" s="106">
        <f t="shared" si="6"/>
        <v>38.892303999999996</v>
      </c>
      <c r="L20" s="106">
        <f t="shared" si="6"/>
        <v>48.637216959999996</v>
      </c>
      <c r="M20" s="106">
        <f t="shared" si="6"/>
        <v>60.882153030399998</v>
      </c>
      <c r="N20" s="106">
        <f t="shared" si="6"/>
        <v>76.283094157695999</v>
      </c>
      <c r="O20" s="106">
        <f t="shared" si="6"/>
        <v>95.671771515543028</v>
      </c>
      <c r="P20" s="29"/>
    </row>
    <row r="21" spans="5:16" ht="15" customHeight="1" x14ac:dyDescent="0.2">
      <c r="E21" s="51" t="s">
        <v>185</v>
      </c>
      <c r="H21" s="105">
        <f>H20-Financials!H13</f>
        <v>0</v>
      </c>
      <c r="I21" s="105">
        <f>I20-Financials!I13</f>
        <v>0</v>
      </c>
      <c r="J21" s="105">
        <f>J20-Financials!J13</f>
        <v>0</v>
      </c>
      <c r="K21" s="105">
        <f>K20-Financials!K13</f>
        <v>0</v>
      </c>
      <c r="L21" s="105">
        <f>L20-Financials!L13</f>
        <v>0</v>
      </c>
      <c r="M21" s="105">
        <f>M20-Financials!M13</f>
        <v>0</v>
      </c>
      <c r="N21" s="105">
        <f>N20-Financials!N13</f>
        <v>0</v>
      </c>
      <c r="O21" s="105">
        <f>O20-Financials!O13</f>
        <v>0</v>
      </c>
      <c r="P21" s="29"/>
    </row>
    <row r="22" spans="5:16" ht="15" customHeight="1" x14ac:dyDescent="0.2">
      <c r="P22" s="29"/>
    </row>
    <row r="23" spans="5:16" ht="15" customHeight="1" x14ac:dyDescent="0.2">
      <c r="P23" s="29"/>
    </row>
    <row r="24" spans="5:16" ht="15" customHeight="1" x14ac:dyDescent="0.2">
      <c r="P24" s="29"/>
    </row>
    <row r="25" spans="5:16" ht="15" customHeight="1" x14ac:dyDescent="0.2">
      <c r="E25" s="115" t="s">
        <v>186</v>
      </c>
      <c r="F25" s="115"/>
      <c r="G25" s="115"/>
      <c r="H25" s="115"/>
      <c r="I25" s="115"/>
      <c r="J25" s="115"/>
      <c r="K25" s="115"/>
      <c r="L25" s="115"/>
      <c r="M25" s="115"/>
      <c r="N25" s="115"/>
      <c r="O25" s="115"/>
      <c r="P25" s="29"/>
    </row>
    <row r="26" spans="5:16" ht="15" customHeight="1" x14ac:dyDescent="0.2">
      <c r="P26" s="29"/>
    </row>
    <row r="27" spans="5:16" ht="15" customHeight="1" x14ac:dyDescent="0.2">
      <c r="E27" s="29" t="s">
        <v>187</v>
      </c>
      <c r="H27" s="135">
        <v>15</v>
      </c>
      <c r="I27" s="54">
        <f t="shared" ref="I27:O27" si="7">H32</f>
        <v>20</v>
      </c>
      <c r="J27" s="54">
        <f t="shared" si="7"/>
        <v>24.939999999999998</v>
      </c>
      <c r="K27" s="54">
        <f t="shared" si="7"/>
        <v>31.1296</v>
      </c>
      <c r="L27" s="54">
        <f t="shared" si="7"/>
        <v>38.892303999999996</v>
      </c>
      <c r="M27" s="54">
        <f t="shared" si="7"/>
        <v>48.637216959999996</v>
      </c>
      <c r="N27" s="54">
        <f t="shared" si="7"/>
        <v>60.882153030399998</v>
      </c>
      <c r="O27" s="54">
        <f t="shared" si="7"/>
        <v>76.283094157695984</v>
      </c>
      <c r="P27" s="29"/>
    </row>
    <row r="28" spans="5:16" ht="15" customHeight="1" x14ac:dyDescent="0.2">
      <c r="E28" s="29" t="s">
        <v>188</v>
      </c>
      <c r="F28" s="29" t="s">
        <v>201</v>
      </c>
      <c r="G28" s="129">
        <v>0.25</v>
      </c>
      <c r="H28" s="54">
        <f t="shared" ref="H28:O28" si="8">H20-H27-H29-H30</f>
        <v>3.95</v>
      </c>
      <c r="I28" s="54">
        <f t="shared" si="8"/>
        <v>3.5399999999999978</v>
      </c>
      <c r="J28" s="54">
        <f t="shared" si="8"/>
        <v>4.4438000000000022</v>
      </c>
      <c r="K28" s="54">
        <f t="shared" si="8"/>
        <v>5.5836319999999962</v>
      </c>
      <c r="L28" s="54">
        <f t="shared" si="8"/>
        <v>7.0224516800000014</v>
      </c>
      <c r="M28" s="54">
        <f t="shared" si="8"/>
        <v>8.8403308832000018</v>
      </c>
      <c r="N28" s="54">
        <f t="shared" si="8"/>
        <v>11.139190415168002</v>
      </c>
      <c r="O28" s="54">
        <f t="shared" si="8"/>
        <v>14.048860766808325</v>
      </c>
      <c r="P28" s="29"/>
    </row>
    <row r="29" spans="5:16" ht="15" customHeight="1" x14ac:dyDescent="0.2">
      <c r="E29" s="29" t="s">
        <v>189</v>
      </c>
      <c r="F29" s="29" t="s">
        <v>202</v>
      </c>
      <c r="G29" s="130">
        <v>0.15</v>
      </c>
      <c r="H29" s="54">
        <f t="shared" ref="H29:O29" si="9">H27*$G$29</f>
        <v>2.25</v>
      </c>
      <c r="I29" s="54">
        <f t="shared" si="9"/>
        <v>3</v>
      </c>
      <c r="J29" s="54">
        <f t="shared" si="9"/>
        <v>3.7409999999999997</v>
      </c>
      <c r="K29" s="54">
        <f t="shared" si="9"/>
        <v>4.6694399999999998</v>
      </c>
      <c r="L29" s="54">
        <f t="shared" si="9"/>
        <v>5.8338455999999992</v>
      </c>
      <c r="M29" s="54">
        <f t="shared" si="9"/>
        <v>7.2955825439999993</v>
      </c>
      <c r="N29" s="54">
        <f t="shared" si="9"/>
        <v>9.1323229545599993</v>
      </c>
      <c r="O29" s="54">
        <f t="shared" si="9"/>
        <v>11.442464123654398</v>
      </c>
      <c r="P29" s="29"/>
    </row>
    <row r="30" spans="5:16" ht="15" customHeight="1" x14ac:dyDescent="0.2">
      <c r="E30" s="29" t="s">
        <v>190</v>
      </c>
      <c r="F30" s="29" t="s">
        <v>203</v>
      </c>
      <c r="G30" s="131">
        <v>0.08</v>
      </c>
      <c r="H30" s="54">
        <f t="shared" ref="H30:O30" si="10">-H27*$G$30</f>
        <v>-1.2</v>
      </c>
      <c r="I30" s="54">
        <f t="shared" si="10"/>
        <v>-1.6</v>
      </c>
      <c r="J30" s="54">
        <f t="shared" si="10"/>
        <v>-1.9951999999999999</v>
      </c>
      <c r="K30" s="54">
        <f t="shared" si="10"/>
        <v>-2.4903680000000001</v>
      </c>
      <c r="L30" s="54">
        <f t="shared" si="10"/>
        <v>-3.1113843199999995</v>
      </c>
      <c r="M30" s="54">
        <f t="shared" si="10"/>
        <v>-3.8909773567999997</v>
      </c>
      <c r="N30" s="54">
        <f t="shared" si="10"/>
        <v>-4.8705722424319999</v>
      </c>
      <c r="O30" s="54">
        <f t="shared" si="10"/>
        <v>-6.1026475326156788</v>
      </c>
      <c r="P30" s="29"/>
    </row>
    <row r="31" spans="5:16" ht="15" customHeight="1" x14ac:dyDescent="0.2">
      <c r="P31" s="29"/>
    </row>
    <row r="32" spans="5:16" ht="15" customHeight="1" x14ac:dyDescent="0.2">
      <c r="E32" s="48" t="s">
        <v>191</v>
      </c>
      <c r="F32" s="49"/>
      <c r="G32" s="49"/>
      <c r="H32" s="106">
        <f>SUM(H27:H30)</f>
        <v>20</v>
      </c>
      <c r="I32" s="106">
        <f t="shared" ref="I32:O32" si="11">SUM(I27:I30)</f>
        <v>24.939999999999998</v>
      </c>
      <c r="J32" s="106">
        <f t="shared" si="11"/>
        <v>31.1296</v>
      </c>
      <c r="K32" s="106">
        <f t="shared" si="11"/>
        <v>38.892303999999996</v>
      </c>
      <c r="L32" s="106">
        <f t="shared" si="11"/>
        <v>48.637216959999996</v>
      </c>
      <c r="M32" s="106">
        <f t="shared" si="11"/>
        <v>60.882153030399998</v>
      </c>
      <c r="N32" s="106">
        <f t="shared" si="11"/>
        <v>76.283094157695984</v>
      </c>
      <c r="O32" s="106">
        <f t="shared" si="11"/>
        <v>95.671771515543043</v>
      </c>
      <c r="P32" s="29"/>
    </row>
    <row r="33" spans="1:16" ht="15" customHeight="1" x14ac:dyDescent="0.2">
      <c r="E33" s="51" t="s">
        <v>275</v>
      </c>
      <c r="H33" s="105">
        <f>H32-H20</f>
        <v>0</v>
      </c>
      <c r="I33" s="105">
        <f t="shared" ref="I33:O33" si="12">I32-I20</f>
        <v>0</v>
      </c>
      <c r="J33" s="105">
        <f t="shared" si="12"/>
        <v>0</v>
      </c>
      <c r="K33" s="105">
        <f t="shared" si="12"/>
        <v>0</v>
      </c>
      <c r="L33" s="105">
        <f t="shared" si="12"/>
        <v>0</v>
      </c>
      <c r="M33" s="105">
        <f t="shared" si="12"/>
        <v>0</v>
      </c>
      <c r="N33" s="105">
        <f t="shared" si="12"/>
        <v>0</v>
      </c>
      <c r="O33" s="105">
        <f t="shared" si="12"/>
        <v>0</v>
      </c>
      <c r="P33" s="29"/>
    </row>
    <row r="34" spans="1:16" ht="15" customHeight="1" x14ac:dyDescent="0.2">
      <c r="P34" s="29"/>
    </row>
    <row r="35" spans="1:16" ht="15" customHeight="1" x14ac:dyDescent="0.2">
      <c r="P35" s="29"/>
    </row>
    <row r="36" spans="1:16" ht="15" customHeight="1" x14ac:dyDescent="0.2">
      <c r="E36" s="42" t="s">
        <v>192</v>
      </c>
      <c r="F36" s="29" t="s">
        <v>204</v>
      </c>
      <c r="G36" s="136">
        <v>0.85</v>
      </c>
      <c r="H36" s="54">
        <f>H32*$G$36</f>
        <v>17</v>
      </c>
      <c r="I36" s="54">
        <f t="shared" ref="I36:O36" si="13">I32*$G$36</f>
        <v>21.198999999999998</v>
      </c>
      <c r="J36" s="54">
        <f t="shared" si="13"/>
        <v>26.460159999999998</v>
      </c>
      <c r="K36" s="54">
        <f t="shared" si="13"/>
        <v>33.058458399999992</v>
      </c>
      <c r="L36" s="54">
        <f t="shared" si="13"/>
        <v>41.341634415999998</v>
      </c>
      <c r="M36" s="54">
        <f t="shared" si="13"/>
        <v>51.749830075839995</v>
      </c>
      <c r="N36" s="54">
        <f t="shared" si="13"/>
        <v>64.840630034041581</v>
      </c>
      <c r="O36" s="54">
        <f t="shared" si="13"/>
        <v>81.321005788211579</v>
      </c>
      <c r="P36" s="29"/>
    </row>
    <row r="37" spans="1:16" ht="15" customHeight="1" x14ac:dyDescent="0.2">
      <c r="E37" s="51" t="s">
        <v>185</v>
      </c>
      <c r="H37" s="105">
        <f>H36-Financials!H16</f>
        <v>0</v>
      </c>
      <c r="I37" s="105">
        <f>I36-Financials!I16</f>
        <v>0</v>
      </c>
      <c r="J37" s="105">
        <f>J36-Financials!J16</f>
        <v>0</v>
      </c>
      <c r="K37" s="105">
        <f>K36-Financials!K16</f>
        <v>0</v>
      </c>
      <c r="L37" s="105">
        <f>L36-Financials!L16</f>
        <v>0</v>
      </c>
      <c r="M37" s="105">
        <f>M36-Financials!M16</f>
        <v>0</v>
      </c>
      <c r="N37" s="105">
        <f>N36-Financials!N16</f>
        <v>0</v>
      </c>
      <c r="O37" s="105">
        <f>O36-Financials!O16</f>
        <v>0</v>
      </c>
      <c r="P37" s="29"/>
    </row>
    <row r="38" spans="1:16" ht="15" customHeight="1" x14ac:dyDescent="0.2">
      <c r="P38" s="29"/>
    </row>
    <row r="39" spans="1:16" ht="15" customHeight="1" x14ac:dyDescent="0.2">
      <c r="P39" s="29"/>
    </row>
    <row r="40" spans="1:16" ht="15" customHeight="1" x14ac:dyDescent="0.2">
      <c r="P40" s="29"/>
    </row>
    <row r="41" spans="1:16" ht="15" customHeight="1" x14ac:dyDescent="0.2">
      <c r="E41" s="115" t="s">
        <v>193</v>
      </c>
      <c r="F41" s="115"/>
      <c r="G41" s="115"/>
      <c r="H41" s="115"/>
      <c r="I41" s="115"/>
      <c r="J41" s="115"/>
      <c r="K41" s="115"/>
      <c r="L41" s="115"/>
      <c r="M41" s="115"/>
      <c r="N41" s="115"/>
      <c r="O41" s="115"/>
      <c r="P41" s="29"/>
    </row>
    <row r="42" spans="1:16" ht="15" customHeight="1" x14ac:dyDescent="0.2">
      <c r="P42" s="29"/>
    </row>
    <row r="43" spans="1:16" ht="15" customHeight="1" x14ac:dyDescent="0.2">
      <c r="E43" s="29" t="s">
        <v>194</v>
      </c>
      <c r="H43" s="100">
        <f t="shared" ref="H43:O43" si="14">(H29+H30)/H27+1</f>
        <v>1.07</v>
      </c>
      <c r="I43" s="100">
        <f t="shared" si="14"/>
        <v>1.07</v>
      </c>
      <c r="J43" s="100">
        <f t="shared" si="14"/>
        <v>1.07</v>
      </c>
      <c r="K43" s="100">
        <f t="shared" si="14"/>
        <v>1.07</v>
      </c>
      <c r="L43" s="100">
        <f t="shared" si="14"/>
        <v>1.07</v>
      </c>
      <c r="M43" s="100">
        <f t="shared" si="14"/>
        <v>1.07</v>
      </c>
      <c r="N43" s="100">
        <f t="shared" si="14"/>
        <v>1.07</v>
      </c>
      <c r="O43" s="100">
        <f t="shared" si="14"/>
        <v>1.07</v>
      </c>
      <c r="P43" s="29"/>
    </row>
    <row r="44" spans="1:16" ht="15" customHeight="1" x14ac:dyDescent="0.2">
      <c r="E44" s="29" t="s">
        <v>195</v>
      </c>
      <c r="H44" s="100">
        <f t="shared" ref="H44:O44" si="15">1+H30/H27</f>
        <v>0.92</v>
      </c>
      <c r="I44" s="100">
        <f t="shared" si="15"/>
        <v>0.92</v>
      </c>
      <c r="J44" s="100">
        <f t="shared" si="15"/>
        <v>0.92</v>
      </c>
      <c r="K44" s="100">
        <f t="shared" si="15"/>
        <v>0.92</v>
      </c>
      <c r="L44" s="100">
        <f t="shared" si="15"/>
        <v>0.92</v>
      </c>
      <c r="M44" s="100">
        <f t="shared" si="15"/>
        <v>0.92</v>
      </c>
      <c r="N44" s="100">
        <f t="shared" si="15"/>
        <v>0.92</v>
      </c>
      <c r="O44" s="100">
        <f t="shared" si="15"/>
        <v>0.92</v>
      </c>
      <c r="P44" s="29"/>
    </row>
    <row r="45" spans="1:16" ht="15" customHeight="1" x14ac:dyDescent="0.2">
      <c r="E45" s="29" t="s">
        <v>196</v>
      </c>
      <c r="H45" s="100">
        <f>H28/H27</f>
        <v>0.26333333333333336</v>
      </c>
      <c r="I45" s="100">
        <f t="shared" ref="I45:O45" si="16">(I28-H28)/H28</f>
        <v>-0.10379746835443097</v>
      </c>
      <c r="J45" s="100">
        <f t="shared" si="16"/>
        <v>0.25531073446327823</v>
      </c>
      <c r="K45" s="100">
        <f t="shared" si="16"/>
        <v>0.25649939241189823</v>
      </c>
      <c r="L45" s="100">
        <f t="shared" si="16"/>
        <v>0.25768526292563804</v>
      </c>
      <c r="M45" s="100">
        <f t="shared" si="16"/>
        <v>0.25886674427071316</v>
      </c>
      <c r="N45" s="100">
        <f t="shared" si="16"/>
        <v>0.26004224981405499</v>
      </c>
      <c r="O45" s="100">
        <f t="shared" si="16"/>
        <v>0.26121021754671553</v>
      </c>
      <c r="P45" s="29"/>
    </row>
    <row r="48" spans="1:16" ht="15" customHeight="1" x14ac:dyDescent="0.2">
      <c r="A48" s="115" t="s">
        <v>274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115"/>
      <c r="N48" s="115"/>
      <c r="O48" s="115"/>
      <c r="P48" s="169"/>
    </row>
  </sheetData>
  <pageMargins left="0.7" right="0.7" top="0.75" bottom="0.75" header="0.3" footer="0.3"/>
  <pageSetup paperSize="9" scale="41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FC4F7-E4C6-FB4E-8833-B8F5EE401692}">
  <dimension ref="A1:P43"/>
  <sheetViews>
    <sheetView showGridLines="0" view="pageBreakPreview" zoomScaleNormal="100" zoomScaleSheetLayoutView="100" workbookViewId="0">
      <pane xSplit="6" ySplit="11" topLeftCell="G12" activePane="bottomRight" state="frozen"/>
      <selection activeCell="J44" sqref="J44"/>
      <selection pane="topRight" activeCell="J44" sqref="J44"/>
      <selection pane="bottomLeft" activeCell="J44" sqref="J44"/>
      <selection pane="bottomRight" activeCell="J44" sqref="J44"/>
    </sheetView>
  </sheetViews>
  <sheetFormatPr baseColWidth="10" defaultColWidth="8.83203125" defaultRowHeight="15" customHeight="1" x14ac:dyDescent="0.2"/>
  <cols>
    <col min="1" max="4" width="2.33203125" style="29" customWidth="1"/>
    <col min="5" max="5" width="36.6640625" style="29" customWidth="1"/>
    <col min="6" max="6" width="17.1640625" style="29" customWidth="1"/>
    <col min="7" max="7" width="10" style="29" customWidth="1"/>
    <col min="8" max="15" width="15" style="29" customWidth="1"/>
    <col min="16" max="16" width="4.6640625" customWidth="1"/>
    <col min="17" max="16384" width="8.83203125" style="29"/>
  </cols>
  <sheetData>
    <row r="1" spans="1:16" ht="15" customHeight="1" x14ac:dyDescent="0.25">
      <c r="A1" s="165" t="str" cm="1">
        <f t="array" aca="1" ref="A1" ca="1">MID(CELL("filename",B1),FIND("]",CELL("filename",B1))+1,255)</f>
        <v>Headcount &amp; Compensation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9"/>
    </row>
    <row r="3" spans="1:16" ht="15" customHeight="1" x14ac:dyDescent="0.2">
      <c r="E3" s="104" t="s">
        <v>172</v>
      </c>
      <c r="F3" s="101"/>
      <c r="G3" s="101"/>
      <c r="H3" s="102">
        <f>Financials!H3</f>
        <v>44562</v>
      </c>
      <c r="I3" s="102">
        <f>Financials!I3</f>
        <v>44927</v>
      </c>
      <c r="J3" s="102">
        <f>Financials!J3</f>
        <v>45292</v>
      </c>
      <c r="K3" s="102">
        <f>Financials!K3</f>
        <v>45658</v>
      </c>
      <c r="L3" s="102">
        <f>Financials!L3</f>
        <v>46023</v>
      </c>
      <c r="M3" s="102">
        <f>Financials!M3</f>
        <v>46388</v>
      </c>
      <c r="N3" s="102">
        <f>Financials!N3</f>
        <v>46753</v>
      </c>
      <c r="O3" s="102">
        <f>Financials!O3</f>
        <v>47119</v>
      </c>
      <c r="P3" s="29"/>
    </row>
    <row r="4" spans="1:16" ht="15" customHeight="1" x14ac:dyDescent="0.2">
      <c r="E4" s="104" t="s">
        <v>173</v>
      </c>
      <c r="F4" s="101"/>
      <c r="G4" s="101"/>
      <c r="H4" s="102">
        <f>Financials!H4</f>
        <v>44926</v>
      </c>
      <c r="I4" s="102">
        <f>Financials!I4</f>
        <v>45291</v>
      </c>
      <c r="J4" s="102">
        <f>Financials!J4</f>
        <v>45657</v>
      </c>
      <c r="K4" s="102">
        <f>Financials!K4</f>
        <v>46022</v>
      </c>
      <c r="L4" s="102">
        <f>Financials!L4</f>
        <v>46387</v>
      </c>
      <c r="M4" s="102">
        <f>Financials!M4</f>
        <v>46752</v>
      </c>
      <c r="N4" s="102">
        <f>Financials!N4</f>
        <v>47118</v>
      </c>
      <c r="O4" s="102">
        <f>Financials!O4</f>
        <v>47483</v>
      </c>
      <c r="P4" s="29"/>
    </row>
    <row r="5" spans="1:16" ht="15" customHeight="1" x14ac:dyDescent="0.2">
      <c r="E5" s="104" t="s">
        <v>174</v>
      </c>
      <c r="F5" s="101"/>
      <c r="G5" s="101"/>
      <c r="H5" s="103">
        <f>Financials!H5</f>
        <v>2022</v>
      </c>
      <c r="I5" s="103">
        <f>Financials!I5</f>
        <v>2023</v>
      </c>
      <c r="J5" s="103">
        <f>Financials!J5</f>
        <v>2024</v>
      </c>
      <c r="K5" s="103">
        <f>Financials!K5</f>
        <v>2025</v>
      </c>
      <c r="L5" s="103">
        <f>Financials!L5</f>
        <v>2026</v>
      </c>
      <c r="M5" s="103">
        <f>Financials!M5</f>
        <v>2027</v>
      </c>
      <c r="N5" s="103">
        <f>Financials!N5</f>
        <v>2028</v>
      </c>
      <c r="O5" s="103">
        <f>Financials!O5</f>
        <v>2029</v>
      </c>
      <c r="P5" s="29"/>
    </row>
    <row r="6" spans="1:16" ht="15" customHeight="1" x14ac:dyDescent="0.2">
      <c r="E6" s="104" t="s">
        <v>175</v>
      </c>
      <c r="F6" s="101"/>
      <c r="G6" s="101"/>
      <c r="H6" s="103">
        <f t="shared" ref="H6:O6" si="0">ROUNDUP(MONTH(H3)/3,0)</f>
        <v>1</v>
      </c>
      <c r="I6" s="103">
        <f t="shared" si="0"/>
        <v>1</v>
      </c>
      <c r="J6" s="103">
        <f t="shared" si="0"/>
        <v>1</v>
      </c>
      <c r="K6" s="103">
        <f t="shared" si="0"/>
        <v>1</v>
      </c>
      <c r="L6" s="103">
        <f t="shared" si="0"/>
        <v>1</v>
      </c>
      <c r="M6" s="103">
        <f t="shared" si="0"/>
        <v>1</v>
      </c>
      <c r="N6" s="103">
        <f t="shared" si="0"/>
        <v>1</v>
      </c>
      <c r="O6" s="103">
        <f t="shared" si="0"/>
        <v>1</v>
      </c>
      <c r="P6" s="29"/>
    </row>
    <row r="7" spans="1:16" ht="15" customHeight="1" x14ac:dyDescent="0.2">
      <c r="E7" s="104" t="s">
        <v>176</v>
      </c>
      <c r="F7" s="101"/>
      <c r="G7" s="101"/>
      <c r="H7" s="103">
        <f t="shared" ref="H7:O7" si="1">MONTH(H4)</f>
        <v>12</v>
      </c>
      <c r="I7" s="103">
        <f t="shared" si="1"/>
        <v>12</v>
      </c>
      <c r="J7" s="103">
        <f t="shared" si="1"/>
        <v>12</v>
      </c>
      <c r="K7" s="103">
        <f t="shared" si="1"/>
        <v>12</v>
      </c>
      <c r="L7" s="103">
        <f t="shared" si="1"/>
        <v>12</v>
      </c>
      <c r="M7" s="103">
        <f t="shared" si="1"/>
        <v>12</v>
      </c>
      <c r="N7" s="103">
        <f t="shared" si="1"/>
        <v>12</v>
      </c>
      <c r="O7" s="103">
        <f t="shared" si="1"/>
        <v>12</v>
      </c>
      <c r="P7" s="29"/>
    </row>
    <row r="8" spans="1:16" ht="15" customHeight="1" x14ac:dyDescent="0.2">
      <c r="E8" s="104" t="s">
        <v>177</v>
      </c>
      <c r="F8" s="101"/>
      <c r="G8" s="101"/>
      <c r="H8" s="103">
        <v>1</v>
      </c>
      <c r="I8" s="103">
        <f t="shared" ref="I8:O8" si="2">H8+1</f>
        <v>2</v>
      </c>
      <c r="J8" s="103">
        <f t="shared" si="2"/>
        <v>3</v>
      </c>
      <c r="K8" s="103">
        <f t="shared" si="2"/>
        <v>4</v>
      </c>
      <c r="L8" s="103">
        <f t="shared" si="2"/>
        <v>5</v>
      </c>
      <c r="M8" s="103">
        <f t="shared" si="2"/>
        <v>6</v>
      </c>
      <c r="N8" s="103">
        <f t="shared" si="2"/>
        <v>7</v>
      </c>
      <c r="O8" s="103">
        <f t="shared" si="2"/>
        <v>8</v>
      </c>
      <c r="P8" s="29"/>
    </row>
    <row r="9" spans="1:16" ht="15" customHeight="1" x14ac:dyDescent="0.2">
      <c r="E9" s="104" t="s">
        <v>178</v>
      </c>
      <c r="F9" s="101"/>
      <c r="G9" s="101"/>
      <c r="H9" s="101" t="s">
        <v>180</v>
      </c>
      <c r="I9" s="101"/>
      <c r="J9" s="101"/>
      <c r="K9" s="101"/>
      <c r="L9" s="101"/>
      <c r="M9" s="101"/>
      <c r="N9" s="101"/>
      <c r="O9" s="101"/>
      <c r="P9" s="29"/>
    </row>
    <row r="10" spans="1:16" ht="15" customHeight="1" x14ac:dyDescent="0.2">
      <c r="E10" s="104" t="s">
        <v>179</v>
      </c>
      <c r="F10" s="101"/>
      <c r="G10" s="101"/>
      <c r="H10" s="101" t="str">
        <f>Financials!H10</f>
        <v>Actual</v>
      </c>
      <c r="I10" s="101" t="str">
        <f>Financials!I10</f>
        <v>Actual</v>
      </c>
      <c r="J10" s="101" t="str">
        <f>Financials!J10</f>
        <v>Actual</v>
      </c>
      <c r="K10" s="101" t="str">
        <f>Financials!K10</f>
        <v>Actual</v>
      </c>
      <c r="L10" s="101" t="str">
        <f>Financials!L10</f>
        <v>Forecast</v>
      </c>
      <c r="M10" s="101" t="str">
        <f>Financials!M10</f>
        <v>Forecast</v>
      </c>
      <c r="N10" s="101" t="str">
        <f>Financials!N10</f>
        <v>Forecast</v>
      </c>
      <c r="O10" s="101" t="str">
        <f>Financials!O10</f>
        <v>Forecast</v>
      </c>
      <c r="P10" s="29"/>
    </row>
    <row r="11" spans="1:16" ht="15" customHeight="1" x14ac:dyDescent="0.2">
      <c r="E11" s="104" t="s">
        <v>113</v>
      </c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29"/>
    </row>
    <row r="12" spans="1:16" ht="15" customHeight="1" x14ac:dyDescent="0.2">
      <c r="P12" s="29"/>
    </row>
    <row r="13" spans="1:16" ht="15" customHeight="1" x14ac:dyDescent="0.2">
      <c r="P13" s="29"/>
    </row>
    <row r="14" spans="1:16" ht="15" customHeight="1" x14ac:dyDescent="0.2">
      <c r="E14" s="115" t="s">
        <v>205</v>
      </c>
      <c r="F14" s="115" t="s">
        <v>197</v>
      </c>
      <c r="G14" s="115"/>
      <c r="H14" s="115"/>
      <c r="I14" s="115"/>
      <c r="J14" s="115"/>
      <c r="K14" s="115"/>
      <c r="L14" s="115"/>
      <c r="M14" s="115"/>
      <c r="N14" s="115"/>
      <c r="O14" s="115"/>
      <c r="P14" s="29"/>
    </row>
    <row r="15" spans="1:16" ht="15" customHeight="1" x14ac:dyDescent="0.2">
      <c r="P15" s="29"/>
    </row>
    <row r="16" spans="1:16" ht="15" customHeight="1" x14ac:dyDescent="0.2">
      <c r="E16" s="29" t="s">
        <v>206</v>
      </c>
      <c r="F16" s="29" t="s">
        <v>217</v>
      </c>
      <c r="G16" s="126">
        <v>0.15</v>
      </c>
      <c r="H16" s="137">
        <v>18</v>
      </c>
      <c r="I16" s="107">
        <f t="shared" ref="I16:O16" si="3">H16*(1+$G$16)</f>
        <v>20.7</v>
      </c>
      <c r="J16" s="107">
        <f t="shared" si="3"/>
        <v>23.804999999999996</v>
      </c>
      <c r="K16" s="107">
        <f t="shared" si="3"/>
        <v>27.375749999999993</v>
      </c>
      <c r="L16" s="107">
        <f t="shared" si="3"/>
        <v>31.482112499999989</v>
      </c>
      <c r="M16" s="107">
        <f t="shared" si="3"/>
        <v>36.204429374999982</v>
      </c>
      <c r="N16" s="107">
        <f t="shared" si="3"/>
        <v>41.635093781249978</v>
      </c>
      <c r="O16" s="107">
        <f t="shared" si="3"/>
        <v>47.88035784843747</v>
      </c>
      <c r="P16" s="29"/>
    </row>
    <row r="17" spans="5:16" ht="15" customHeight="1" x14ac:dyDescent="0.2">
      <c r="E17" s="29" t="s">
        <v>207</v>
      </c>
      <c r="F17" s="29" t="s">
        <v>218</v>
      </c>
      <c r="G17" s="127">
        <v>0.12</v>
      </c>
      <c r="H17" s="138">
        <v>8</v>
      </c>
      <c r="I17" s="107">
        <f t="shared" ref="I17:O17" si="4">H17*(1+$G$17)</f>
        <v>8.9600000000000009</v>
      </c>
      <c r="J17" s="107">
        <f t="shared" si="4"/>
        <v>10.035200000000001</v>
      </c>
      <c r="K17" s="107">
        <f t="shared" si="4"/>
        <v>11.239424000000003</v>
      </c>
      <c r="L17" s="107">
        <f t="shared" si="4"/>
        <v>12.588154880000005</v>
      </c>
      <c r="M17" s="107">
        <f t="shared" si="4"/>
        <v>14.098733465600006</v>
      </c>
      <c r="N17" s="107">
        <f t="shared" si="4"/>
        <v>15.790581481472008</v>
      </c>
      <c r="O17" s="107">
        <f t="shared" si="4"/>
        <v>17.685451259248651</v>
      </c>
      <c r="P17" s="29"/>
    </row>
    <row r="18" spans="5:16" ht="15" customHeight="1" x14ac:dyDescent="0.2">
      <c r="E18" s="29" t="s">
        <v>208</v>
      </c>
      <c r="F18" s="29" t="s">
        <v>219</v>
      </c>
      <c r="G18" s="127">
        <v>0.18</v>
      </c>
      <c r="H18" s="138">
        <v>25</v>
      </c>
      <c r="I18" s="107">
        <f t="shared" ref="I18:O18" si="5">H18*(1+$G$18)</f>
        <v>29.5</v>
      </c>
      <c r="J18" s="107">
        <f t="shared" si="5"/>
        <v>34.809999999999995</v>
      </c>
      <c r="K18" s="107">
        <f t="shared" si="5"/>
        <v>41.075799999999994</v>
      </c>
      <c r="L18" s="107">
        <f t="shared" si="5"/>
        <v>48.469443999999989</v>
      </c>
      <c r="M18" s="107">
        <f t="shared" si="5"/>
        <v>57.193943919999981</v>
      </c>
      <c r="N18" s="107">
        <f t="shared" si="5"/>
        <v>67.488853825599975</v>
      </c>
      <c r="O18" s="107">
        <f t="shared" si="5"/>
        <v>79.636847514207972</v>
      </c>
      <c r="P18" s="29"/>
    </row>
    <row r="19" spans="5:16" ht="15" customHeight="1" x14ac:dyDescent="0.2">
      <c r="E19" s="29" t="s">
        <v>209</v>
      </c>
      <c r="F19" s="29" t="s">
        <v>220</v>
      </c>
      <c r="G19" s="128">
        <v>0.08</v>
      </c>
      <c r="H19" s="139">
        <v>12</v>
      </c>
      <c r="I19" s="107">
        <f t="shared" ref="I19:O19" si="6">H19*(1+$G$19)</f>
        <v>12.96</v>
      </c>
      <c r="J19" s="107">
        <f t="shared" si="6"/>
        <v>13.996800000000002</v>
      </c>
      <c r="K19" s="107">
        <f t="shared" si="6"/>
        <v>15.116544000000003</v>
      </c>
      <c r="L19" s="107">
        <f t="shared" si="6"/>
        <v>16.325867520000003</v>
      </c>
      <c r="M19" s="107">
        <f t="shared" si="6"/>
        <v>17.631936921600005</v>
      </c>
      <c r="N19" s="107">
        <f t="shared" si="6"/>
        <v>19.042491875328007</v>
      </c>
      <c r="O19" s="107">
        <f t="shared" si="6"/>
        <v>20.56589122535425</v>
      </c>
      <c r="P19" s="29"/>
    </row>
    <row r="20" spans="5:16" ht="15" customHeight="1" x14ac:dyDescent="0.2">
      <c r="P20" s="29"/>
    </row>
    <row r="21" spans="5:16" ht="15" customHeight="1" x14ac:dyDescent="0.2">
      <c r="E21" s="48" t="s">
        <v>210</v>
      </c>
      <c r="F21" s="49"/>
      <c r="G21" s="49"/>
      <c r="H21" s="108">
        <f t="shared" ref="H21:O21" si="7">SUM(H16:H19)</f>
        <v>63</v>
      </c>
      <c r="I21" s="108">
        <f t="shared" si="7"/>
        <v>72.12</v>
      </c>
      <c r="J21" s="108">
        <f t="shared" si="7"/>
        <v>82.646999999999991</v>
      </c>
      <c r="K21" s="108">
        <f t="shared" si="7"/>
        <v>94.807517999999988</v>
      </c>
      <c r="L21" s="108">
        <f t="shared" si="7"/>
        <v>108.86557889999997</v>
      </c>
      <c r="M21" s="108">
        <f t="shared" si="7"/>
        <v>125.12904368219996</v>
      </c>
      <c r="N21" s="108">
        <f t="shared" si="7"/>
        <v>143.95702096364997</v>
      </c>
      <c r="O21" s="108">
        <f t="shared" si="7"/>
        <v>165.76854784724836</v>
      </c>
      <c r="P21" s="29"/>
    </row>
    <row r="22" spans="5:16" ht="15" customHeight="1" x14ac:dyDescent="0.2">
      <c r="P22" s="29"/>
    </row>
    <row r="23" spans="5:16" ht="15" customHeight="1" x14ac:dyDescent="0.2">
      <c r="P23" s="29"/>
    </row>
    <row r="24" spans="5:16" ht="15" customHeight="1" x14ac:dyDescent="0.2">
      <c r="P24" s="29"/>
    </row>
    <row r="25" spans="5:16" ht="15" customHeight="1" x14ac:dyDescent="0.2">
      <c r="E25" s="115" t="s">
        <v>211</v>
      </c>
      <c r="F25" s="115" t="s">
        <v>197</v>
      </c>
      <c r="G25" s="115"/>
      <c r="H25" s="115"/>
      <c r="I25" s="115"/>
      <c r="J25" s="115"/>
      <c r="K25" s="115"/>
      <c r="L25" s="115"/>
      <c r="M25" s="115"/>
      <c r="N25" s="115"/>
      <c r="O25" s="115"/>
      <c r="P25" s="29"/>
    </row>
    <row r="26" spans="5:16" ht="15" customHeight="1" x14ac:dyDescent="0.2">
      <c r="P26" s="29"/>
    </row>
    <row r="27" spans="5:16" ht="15" customHeight="1" x14ac:dyDescent="0.2">
      <c r="E27" s="29" t="s">
        <v>206</v>
      </c>
      <c r="F27" s="29" t="s">
        <v>221</v>
      </c>
      <c r="G27" s="137">
        <v>65</v>
      </c>
      <c r="H27" s="54">
        <f t="shared" ref="H27:O27" si="8">H16*$G$27/1000</f>
        <v>1.17</v>
      </c>
      <c r="I27" s="54">
        <f t="shared" si="8"/>
        <v>1.3454999999999999</v>
      </c>
      <c r="J27" s="54">
        <f t="shared" si="8"/>
        <v>1.5473249999999998</v>
      </c>
      <c r="K27" s="54">
        <f t="shared" si="8"/>
        <v>1.7794237499999994</v>
      </c>
      <c r="L27" s="54">
        <f t="shared" si="8"/>
        <v>2.0463373124999995</v>
      </c>
      <c r="M27" s="54">
        <f t="shared" si="8"/>
        <v>2.3532879093749988</v>
      </c>
      <c r="N27" s="54">
        <f t="shared" si="8"/>
        <v>2.7062810957812484</v>
      </c>
      <c r="O27" s="54">
        <f t="shared" si="8"/>
        <v>3.1122232601484359</v>
      </c>
      <c r="P27" s="29"/>
    </row>
    <row r="28" spans="5:16" ht="15" customHeight="1" x14ac:dyDescent="0.2">
      <c r="E28" s="29" t="s">
        <v>207</v>
      </c>
      <c r="F28" s="29" t="s">
        <v>222</v>
      </c>
      <c r="G28" s="138">
        <v>70</v>
      </c>
      <c r="H28" s="54">
        <f t="shared" ref="H28:O28" si="9">H17*$G$28/1000</f>
        <v>0.56000000000000005</v>
      </c>
      <c r="I28" s="54">
        <f t="shared" si="9"/>
        <v>0.62720000000000009</v>
      </c>
      <c r="J28" s="54">
        <f t="shared" si="9"/>
        <v>0.70246400000000009</v>
      </c>
      <c r="K28" s="54">
        <f t="shared" si="9"/>
        <v>0.78675968000000018</v>
      </c>
      <c r="L28" s="54">
        <f t="shared" si="9"/>
        <v>0.88117084160000037</v>
      </c>
      <c r="M28" s="54">
        <f t="shared" si="9"/>
        <v>0.98691134259200042</v>
      </c>
      <c r="N28" s="54">
        <f t="shared" si="9"/>
        <v>1.1053407037030407</v>
      </c>
      <c r="O28" s="54">
        <f t="shared" si="9"/>
        <v>1.2379815881474054</v>
      </c>
      <c r="P28" s="29"/>
    </row>
    <row r="29" spans="5:16" ht="15" customHeight="1" x14ac:dyDescent="0.2">
      <c r="E29" s="29" t="s">
        <v>208</v>
      </c>
      <c r="F29" s="29" t="s">
        <v>223</v>
      </c>
      <c r="G29" s="138">
        <v>75</v>
      </c>
      <c r="H29" s="54">
        <f t="shared" ref="H29:O29" si="10">H18*$G$29/1000</f>
        <v>1.875</v>
      </c>
      <c r="I29" s="54">
        <f t="shared" si="10"/>
        <v>2.2124999999999999</v>
      </c>
      <c r="J29" s="54">
        <f t="shared" si="10"/>
        <v>2.6107499999999995</v>
      </c>
      <c r="K29" s="54">
        <f t="shared" si="10"/>
        <v>3.0806849999999995</v>
      </c>
      <c r="L29" s="54">
        <f t="shared" si="10"/>
        <v>3.6352082999999995</v>
      </c>
      <c r="M29" s="54">
        <f t="shared" si="10"/>
        <v>4.2895457939999986</v>
      </c>
      <c r="N29" s="54">
        <f t="shared" si="10"/>
        <v>5.0616640369199981</v>
      </c>
      <c r="O29" s="54">
        <f t="shared" si="10"/>
        <v>5.9727635635655982</v>
      </c>
      <c r="P29" s="29"/>
    </row>
    <row r="30" spans="5:16" ht="15" customHeight="1" x14ac:dyDescent="0.2">
      <c r="E30" s="29" t="s">
        <v>209</v>
      </c>
      <c r="F30" s="29" t="s">
        <v>224</v>
      </c>
      <c r="G30" s="139">
        <v>80</v>
      </c>
      <c r="H30" s="54">
        <f t="shared" ref="H30:O30" si="11">H19*$G$30/1000</f>
        <v>0.96</v>
      </c>
      <c r="I30" s="54">
        <f t="shared" si="11"/>
        <v>1.0368000000000002</v>
      </c>
      <c r="J30" s="54">
        <f t="shared" si="11"/>
        <v>1.1197440000000001</v>
      </c>
      <c r="K30" s="54">
        <f t="shared" si="11"/>
        <v>1.2093235200000001</v>
      </c>
      <c r="L30" s="54">
        <f t="shared" si="11"/>
        <v>1.3060694016000003</v>
      </c>
      <c r="M30" s="54">
        <f t="shared" si="11"/>
        <v>1.4105549537280004</v>
      </c>
      <c r="N30" s="54">
        <f t="shared" si="11"/>
        <v>1.5233993500262406</v>
      </c>
      <c r="O30" s="54">
        <f t="shared" si="11"/>
        <v>1.6452712980283399</v>
      </c>
      <c r="P30" s="29"/>
    </row>
    <row r="31" spans="5:16" ht="15" customHeight="1" x14ac:dyDescent="0.2">
      <c r="P31" s="29"/>
    </row>
    <row r="32" spans="5:16" ht="15" customHeight="1" x14ac:dyDescent="0.2">
      <c r="E32" s="48" t="s">
        <v>212</v>
      </c>
      <c r="F32" s="49"/>
      <c r="G32" s="49"/>
      <c r="H32" s="106">
        <f t="shared" ref="H32:O32" si="12">SUM(H27:H30)</f>
        <v>4.5649999999999995</v>
      </c>
      <c r="I32" s="106">
        <f t="shared" si="12"/>
        <v>5.2220000000000004</v>
      </c>
      <c r="J32" s="106">
        <f t="shared" si="12"/>
        <v>5.9802829999999991</v>
      </c>
      <c r="K32" s="106">
        <f t="shared" si="12"/>
        <v>6.8561919499999995</v>
      </c>
      <c r="L32" s="106">
        <f t="shared" si="12"/>
        <v>7.8687858556999997</v>
      </c>
      <c r="M32" s="106">
        <f t="shared" si="12"/>
        <v>9.040299999694998</v>
      </c>
      <c r="N32" s="106">
        <f t="shared" si="12"/>
        <v>10.396685186430528</v>
      </c>
      <c r="O32" s="106">
        <f t="shared" si="12"/>
        <v>11.968239709889779</v>
      </c>
      <c r="P32" s="29"/>
    </row>
    <row r="33" spans="1:16" ht="15" customHeight="1" x14ac:dyDescent="0.2">
      <c r="P33" s="29"/>
    </row>
    <row r="34" spans="1:16" ht="15" customHeight="1" x14ac:dyDescent="0.2">
      <c r="P34" s="29"/>
    </row>
    <row r="35" spans="1:16" ht="15" customHeight="1" x14ac:dyDescent="0.2">
      <c r="P35" s="29"/>
    </row>
    <row r="36" spans="1:16" ht="15" customHeight="1" x14ac:dyDescent="0.2">
      <c r="E36" s="115" t="s">
        <v>213</v>
      </c>
      <c r="F36" s="115"/>
      <c r="G36" s="115"/>
      <c r="H36" s="115"/>
      <c r="I36" s="115"/>
      <c r="J36" s="115"/>
      <c r="K36" s="115"/>
      <c r="L36" s="115"/>
      <c r="M36" s="115"/>
      <c r="N36" s="115"/>
      <c r="O36" s="115"/>
      <c r="P36" s="29"/>
    </row>
    <row r="37" spans="1:16" ht="15" customHeight="1" x14ac:dyDescent="0.2">
      <c r="P37" s="29"/>
    </row>
    <row r="38" spans="1:16" ht="15" customHeight="1" x14ac:dyDescent="0.2">
      <c r="E38" s="29" t="s">
        <v>214</v>
      </c>
      <c r="H38" s="107">
        <f>Financials!H16/H21*1000</f>
        <v>269.84126984126982</v>
      </c>
      <c r="I38" s="107">
        <f>Financials!I16/I21*1000</f>
        <v>293.94065446478083</v>
      </c>
      <c r="J38" s="107">
        <f>Financials!J16/J21*1000</f>
        <v>320.15874744394841</v>
      </c>
      <c r="K38" s="107">
        <f>Financials!K16/K21*1000</f>
        <v>348.6902631498063</v>
      </c>
      <c r="L38" s="107">
        <f>Financials!L16/L21*1000</f>
        <v>379.74936461757983</v>
      </c>
      <c r="M38" s="107">
        <f>Financials!M16/M21*1000</f>
        <v>413.57169009677</v>
      </c>
      <c r="N38" s="107">
        <f>Financials!N16/N21*1000</f>
        <v>450.41658683958349</v>
      </c>
      <c r="O38" s="107">
        <f>Financials!O16/O21*1000</f>
        <v>490.5695733254953</v>
      </c>
      <c r="P38" s="29"/>
    </row>
    <row r="39" spans="1:16" ht="15" customHeight="1" x14ac:dyDescent="0.2">
      <c r="E39" s="29" t="s">
        <v>215</v>
      </c>
      <c r="H39" s="100">
        <f>H32/Financials!H16</f>
        <v>0.26852941176470585</v>
      </c>
      <c r="I39" s="100">
        <f>I32/Financials!I16</f>
        <v>0.24633237416859291</v>
      </c>
      <c r="J39" s="100">
        <f>J32/Financials!J16</f>
        <v>0.22601084044843264</v>
      </c>
      <c r="K39" s="100">
        <f>K32/Financials!K16</f>
        <v>0.20739599732817551</v>
      </c>
      <c r="L39" s="100">
        <f>L32/Financials!L16</f>
        <v>0.19033562574039478</v>
      </c>
      <c r="M39" s="100">
        <f>M32/Financials!M16</f>
        <v>0.17469236104633251</v>
      </c>
      <c r="N39" s="100">
        <f>N32/Financials!N16</f>
        <v>0.16034213703617975</v>
      </c>
      <c r="O39" s="100">
        <f>O32/Financials!O16</f>
        <v>0.14717279494869104</v>
      </c>
      <c r="P39" s="29"/>
    </row>
    <row r="40" spans="1:16" ht="15" customHeight="1" x14ac:dyDescent="0.2">
      <c r="E40" s="29" t="s">
        <v>216</v>
      </c>
      <c r="H40" s="107">
        <f t="shared" ref="H40:O40" si="13">H32/H21*1000</f>
        <v>72.460317460317441</v>
      </c>
      <c r="I40" s="107">
        <f t="shared" si="13"/>
        <v>72.407099278979487</v>
      </c>
      <c r="J40" s="107">
        <f t="shared" si="13"/>
        <v>72.359347586724255</v>
      </c>
      <c r="K40" s="107">
        <f t="shared" si="13"/>
        <v>72.316964884578027</v>
      </c>
      <c r="L40" s="107">
        <f t="shared" si="13"/>
        <v>72.279832939004393</v>
      </c>
      <c r="M40" s="107">
        <f t="shared" si="13"/>
        <v>72.247815004926892</v>
      </c>
      <c r="N40" s="107">
        <f t="shared" si="13"/>
        <v>72.220758090400849</v>
      </c>
      <c r="O40" s="107">
        <f t="shared" si="13"/>
        <v>72.198495223099968</v>
      </c>
      <c r="P40" s="29"/>
    </row>
    <row r="41" spans="1:16" ht="15" customHeight="1" x14ac:dyDescent="0.2">
      <c r="P41" s="29"/>
    </row>
    <row r="42" spans="1:16" ht="15" customHeight="1" x14ac:dyDescent="0.2">
      <c r="P42" s="29"/>
    </row>
    <row r="43" spans="1:16" ht="15" customHeight="1" x14ac:dyDescent="0.2">
      <c r="A43" s="115" t="s">
        <v>274</v>
      </c>
      <c r="B43" s="115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69"/>
    </row>
  </sheetData>
  <pageMargins left="0.7" right="0.7" top="0.75" bottom="0.75" header="0.3" footer="0.3"/>
  <pageSetup paperSize="9" scale="3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E040D-D391-6C42-B559-6173BC3D6B6B}">
  <dimension ref="A1:P56"/>
  <sheetViews>
    <sheetView showGridLines="0" view="pageBreakPreview" zoomScaleNormal="100" zoomScaleSheetLayoutView="100" workbookViewId="0">
      <pane xSplit="6" ySplit="11" topLeftCell="G12" activePane="bottomRight" state="frozen"/>
      <selection activeCell="J44" sqref="J44"/>
      <selection pane="topRight" activeCell="J44" sqref="J44"/>
      <selection pane="bottomLeft" activeCell="J44" sqref="J44"/>
      <selection pane="bottomRight" activeCell="J44" sqref="J44"/>
    </sheetView>
  </sheetViews>
  <sheetFormatPr baseColWidth="10" defaultColWidth="8.83203125" defaultRowHeight="15" customHeight="1" x14ac:dyDescent="0.2"/>
  <cols>
    <col min="1" max="4" width="2.33203125" style="29" customWidth="1"/>
    <col min="5" max="5" width="36.6640625" style="29" customWidth="1"/>
    <col min="6" max="6" width="14.1640625" style="29" customWidth="1"/>
    <col min="7" max="7" width="10" style="29" customWidth="1"/>
    <col min="8" max="15" width="15" style="29" customWidth="1"/>
    <col min="16" max="16" width="4.6640625" customWidth="1"/>
    <col min="17" max="16384" width="8.83203125" style="29"/>
  </cols>
  <sheetData>
    <row r="1" spans="1:16" ht="15" customHeight="1" x14ac:dyDescent="0.25">
      <c r="A1" s="165" t="str" cm="1">
        <f t="array" aca="1" ref="A1" ca="1">MID(CELL("filename",B1),FIND("]",CELL("filename",B1))+1,255)</f>
        <v>Operating Expenses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9"/>
    </row>
    <row r="3" spans="1:16" ht="15" customHeight="1" x14ac:dyDescent="0.2">
      <c r="E3" s="104" t="s">
        <v>172</v>
      </c>
      <c r="F3" s="101"/>
      <c r="G3" s="101"/>
      <c r="H3" s="102">
        <f>Financials!H3</f>
        <v>44562</v>
      </c>
      <c r="I3" s="102">
        <f>Financials!I3</f>
        <v>44927</v>
      </c>
      <c r="J3" s="102">
        <f>Financials!J3</f>
        <v>45292</v>
      </c>
      <c r="K3" s="102">
        <f>Financials!K3</f>
        <v>45658</v>
      </c>
      <c r="L3" s="102">
        <f>Financials!L3</f>
        <v>46023</v>
      </c>
      <c r="M3" s="102">
        <f>Financials!M3</f>
        <v>46388</v>
      </c>
      <c r="N3" s="102">
        <f>Financials!N3</f>
        <v>46753</v>
      </c>
      <c r="O3" s="102">
        <f>Financials!O3</f>
        <v>47119</v>
      </c>
      <c r="P3" s="29"/>
    </row>
    <row r="4" spans="1:16" ht="15" customHeight="1" x14ac:dyDescent="0.2">
      <c r="E4" s="104" t="s">
        <v>173</v>
      </c>
      <c r="F4" s="101"/>
      <c r="G4" s="101"/>
      <c r="H4" s="102">
        <f>Financials!H4</f>
        <v>44926</v>
      </c>
      <c r="I4" s="102">
        <f>Financials!I4</f>
        <v>45291</v>
      </c>
      <c r="J4" s="102">
        <f>Financials!J4</f>
        <v>45657</v>
      </c>
      <c r="K4" s="102">
        <f>Financials!K4</f>
        <v>46022</v>
      </c>
      <c r="L4" s="102">
        <f>Financials!L4</f>
        <v>46387</v>
      </c>
      <c r="M4" s="102">
        <f>Financials!M4</f>
        <v>46752</v>
      </c>
      <c r="N4" s="102">
        <f>Financials!N4</f>
        <v>47118</v>
      </c>
      <c r="O4" s="102">
        <f>Financials!O4</f>
        <v>47483</v>
      </c>
      <c r="P4" s="29"/>
    </row>
    <row r="5" spans="1:16" ht="15" customHeight="1" x14ac:dyDescent="0.2">
      <c r="E5" s="104" t="s">
        <v>174</v>
      </c>
      <c r="F5" s="101"/>
      <c r="G5" s="101"/>
      <c r="H5" s="103">
        <f>Financials!H5</f>
        <v>2022</v>
      </c>
      <c r="I5" s="103">
        <f>Financials!I5</f>
        <v>2023</v>
      </c>
      <c r="J5" s="103">
        <f>Financials!J5</f>
        <v>2024</v>
      </c>
      <c r="K5" s="103">
        <f>Financials!K5</f>
        <v>2025</v>
      </c>
      <c r="L5" s="103">
        <f>Financials!L5</f>
        <v>2026</v>
      </c>
      <c r="M5" s="103">
        <f>Financials!M5</f>
        <v>2027</v>
      </c>
      <c r="N5" s="103">
        <f>Financials!N5</f>
        <v>2028</v>
      </c>
      <c r="O5" s="103">
        <f>Financials!O5</f>
        <v>2029</v>
      </c>
      <c r="P5" s="29"/>
    </row>
    <row r="6" spans="1:16" ht="15" customHeight="1" x14ac:dyDescent="0.2">
      <c r="E6" s="104" t="s">
        <v>175</v>
      </c>
      <c r="F6" s="101"/>
      <c r="G6" s="101"/>
      <c r="H6" s="103">
        <f t="shared" ref="H6:O6" si="0">ROUNDUP(MONTH(H3)/3,0)</f>
        <v>1</v>
      </c>
      <c r="I6" s="103">
        <f t="shared" si="0"/>
        <v>1</v>
      </c>
      <c r="J6" s="103">
        <f t="shared" si="0"/>
        <v>1</v>
      </c>
      <c r="K6" s="103">
        <f t="shared" si="0"/>
        <v>1</v>
      </c>
      <c r="L6" s="103">
        <f t="shared" si="0"/>
        <v>1</v>
      </c>
      <c r="M6" s="103">
        <f t="shared" si="0"/>
        <v>1</v>
      </c>
      <c r="N6" s="103">
        <f t="shared" si="0"/>
        <v>1</v>
      </c>
      <c r="O6" s="103">
        <f t="shared" si="0"/>
        <v>1</v>
      </c>
      <c r="P6" s="29"/>
    </row>
    <row r="7" spans="1:16" ht="15" customHeight="1" x14ac:dyDescent="0.2">
      <c r="E7" s="104" t="s">
        <v>176</v>
      </c>
      <c r="F7" s="101"/>
      <c r="G7" s="101"/>
      <c r="H7" s="103">
        <f t="shared" ref="H7:O7" si="1">MONTH(H4)</f>
        <v>12</v>
      </c>
      <c r="I7" s="103">
        <f t="shared" si="1"/>
        <v>12</v>
      </c>
      <c r="J7" s="103">
        <f t="shared" si="1"/>
        <v>12</v>
      </c>
      <c r="K7" s="103">
        <f t="shared" si="1"/>
        <v>12</v>
      </c>
      <c r="L7" s="103">
        <f t="shared" si="1"/>
        <v>12</v>
      </c>
      <c r="M7" s="103">
        <f t="shared" si="1"/>
        <v>12</v>
      </c>
      <c r="N7" s="103">
        <f t="shared" si="1"/>
        <v>12</v>
      </c>
      <c r="O7" s="103">
        <f t="shared" si="1"/>
        <v>12</v>
      </c>
      <c r="P7" s="29"/>
    </row>
    <row r="8" spans="1:16" ht="15" customHeight="1" x14ac:dyDescent="0.2">
      <c r="E8" s="104" t="s">
        <v>177</v>
      </c>
      <c r="F8" s="101"/>
      <c r="G8" s="101"/>
      <c r="H8" s="103">
        <v>1</v>
      </c>
      <c r="I8" s="103">
        <f t="shared" ref="I8:O8" si="2">H8+1</f>
        <v>2</v>
      </c>
      <c r="J8" s="103">
        <f t="shared" si="2"/>
        <v>3</v>
      </c>
      <c r="K8" s="103">
        <f t="shared" si="2"/>
        <v>4</v>
      </c>
      <c r="L8" s="103">
        <f t="shared" si="2"/>
        <v>5</v>
      </c>
      <c r="M8" s="103">
        <f t="shared" si="2"/>
        <v>6</v>
      </c>
      <c r="N8" s="103">
        <f t="shared" si="2"/>
        <v>7</v>
      </c>
      <c r="O8" s="103">
        <f t="shared" si="2"/>
        <v>8</v>
      </c>
      <c r="P8" s="29"/>
    </row>
    <row r="9" spans="1:16" ht="15" customHeight="1" x14ac:dyDescent="0.2">
      <c r="E9" s="104" t="s">
        <v>178</v>
      </c>
      <c r="F9" s="101"/>
      <c r="G9" s="101"/>
      <c r="H9" s="101" t="s">
        <v>180</v>
      </c>
      <c r="I9" s="101"/>
      <c r="J9" s="101"/>
      <c r="K9" s="101"/>
      <c r="L9" s="101"/>
      <c r="M9" s="101"/>
      <c r="N9" s="101"/>
      <c r="O9" s="101"/>
      <c r="P9" s="29"/>
    </row>
    <row r="10" spans="1:16" ht="15" customHeight="1" x14ac:dyDescent="0.2">
      <c r="E10" s="104" t="s">
        <v>179</v>
      </c>
      <c r="F10" s="101"/>
      <c r="G10" s="101"/>
      <c r="H10" s="101" t="str">
        <f>Financials!H10</f>
        <v>Actual</v>
      </c>
      <c r="I10" s="101" t="str">
        <f>Financials!I10</f>
        <v>Actual</v>
      </c>
      <c r="J10" s="101" t="str">
        <f>Financials!J10</f>
        <v>Actual</v>
      </c>
      <c r="K10" s="101" t="str">
        <f>Financials!K10</f>
        <v>Actual</v>
      </c>
      <c r="L10" s="101" t="str">
        <f>Financials!L10</f>
        <v>Forecast</v>
      </c>
      <c r="M10" s="101" t="str">
        <f>Financials!M10</f>
        <v>Forecast</v>
      </c>
      <c r="N10" s="101" t="str">
        <f>Financials!N10</f>
        <v>Forecast</v>
      </c>
      <c r="O10" s="101" t="str">
        <f>Financials!O10</f>
        <v>Forecast</v>
      </c>
      <c r="P10" s="29"/>
    </row>
    <row r="11" spans="1:16" ht="15" customHeight="1" x14ac:dyDescent="0.2">
      <c r="E11" s="104" t="s">
        <v>113</v>
      </c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29"/>
    </row>
    <row r="12" spans="1:16" ht="15" customHeight="1" x14ac:dyDescent="0.2">
      <c r="P12" s="29"/>
    </row>
    <row r="13" spans="1:16" ht="15" customHeight="1" x14ac:dyDescent="0.2">
      <c r="P13" s="29"/>
    </row>
    <row r="14" spans="1:16" ht="15" customHeight="1" x14ac:dyDescent="0.2">
      <c r="E14" s="115" t="s">
        <v>225</v>
      </c>
      <c r="F14" s="115" t="s">
        <v>197</v>
      </c>
      <c r="G14" s="115"/>
      <c r="H14" s="115"/>
      <c r="I14" s="115"/>
      <c r="J14" s="115"/>
      <c r="K14" s="115"/>
      <c r="L14" s="115"/>
      <c r="M14" s="115"/>
      <c r="N14" s="115"/>
      <c r="O14" s="115"/>
      <c r="P14" s="29"/>
    </row>
    <row r="15" spans="1:16" ht="15" customHeight="1" x14ac:dyDescent="0.2">
      <c r="P15" s="29"/>
    </row>
    <row r="16" spans="1:16" ht="15" customHeight="1" x14ac:dyDescent="0.2">
      <c r="E16" s="29" t="s">
        <v>226</v>
      </c>
      <c r="H16" s="54">
        <f>'Headcount &amp; Compensation'!H32</f>
        <v>4.5649999999999995</v>
      </c>
      <c r="I16" s="54">
        <f>'Headcount &amp; Compensation'!I32</f>
        <v>5.2220000000000004</v>
      </c>
      <c r="J16" s="54">
        <f>'Headcount &amp; Compensation'!J32</f>
        <v>5.9802829999999991</v>
      </c>
      <c r="K16" s="54">
        <f>'Headcount &amp; Compensation'!K32</f>
        <v>6.8561919499999995</v>
      </c>
      <c r="L16" s="54">
        <f>'Headcount &amp; Compensation'!L32</f>
        <v>7.8687858556999997</v>
      </c>
      <c r="M16" s="54">
        <f>'Headcount &amp; Compensation'!M32</f>
        <v>9.040299999694998</v>
      </c>
      <c r="N16" s="54">
        <f>'Headcount &amp; Compensation'!N32</f>
        <v>10.396685186430528</v>
      </c>
      <c r="O16" s="54">
        <f>'Headcount &amp; Compensation'!O32</f>
        <v>11.968239709889779</v>
      </c>
      <c r="P16" s="29"/>
    </row>
    <row r="17" spans="5:16" ht="15" customHeight="1" x14ac:dyDescent="0.2">
      <c r="E17" s="29" t="s">
        <v>227</v>
      </c>
      <c r="F17" s="29" t="s">
        <v>243</v>
      </c>
      <c r="G17" s="136">
        <v>0.22</v>
      </c>
      <c r="H17" s="54">
        <f t="shared" ref="H17:O17" si="3">H16*$G$17</f>
        <v>1.0043</v>
      </c>
      <c r="I17" s="54">
        <f t="shared" si="3"/>
        <v>1.1488400000000001</v>
      </c>
      <c r="J17" s="54">
        <f t="shared" si="3"/>
        <v>1.3156622599999999</v>
      </c>
      <c r="K17" s="54">
        <f t="shared" si="3"/>
        <v>1.5083622289999998</v>
      </c>
      <c r="L17" s="54">
        <f t="shared" si="3"/>
        <v>1.731132888254</v>
      </c>
      <c r="M17" s="54">
        <f t="shared" si="3"/>
        <v>1.9888659999328995</v>
      </c>
      <c r="N17" s="54">
        <f t="shared" si="3"/>
        <v>2.2872707410147162</v>
      </c>
      <c r="O17" s="54">
        <f t="shared" si="3"/>
        <v>2.6330127361757514</v>
      </c>
      <c r="P17" s="29"/>
    </row>
    <row r="18" spans="5:16" ht="15" customHeight="1" x14ac:dyDescent="0.2">
      <c r="P18" s="29"/>
    </row>
    <row r="19" spans="5:16" ht="15" customHeight="1" x14ac:dyDescent="0.2">
      <c r="E19" s="48" t="s">
        <v>228</v>
      </c>
      <c r="F19" s="49"/>
      <c r="G19" s="49"/>
      <c r="H19" s="106">
        <f t="shared" ref="H19:O19" si="4">H16+H17</f>
        <v>5.5692999999999993</v>
      </c>
      <c r="I19" s="106">
        <f t="shared" si="4"/>
        <v>6.3708400000000003</v>
      </c>
      <c r="J19" s="106">
        <f t="shared" si="4"/>
        <v>7.295945259999999</v>
      </c>
      <c r="K19" s="106">
        <f t="shared" si="4"/>
        <v>8.3645541789999989</v>
      </c>
      <c r="L19" s="106">
        <f t="shared" si="4"/>
        <v>9.5999187439539995</v>
      </c>
      <c r="M19" s="106">
        <f t="shared" si="4"/>
        <v>11.029165999627898</v>
      </c>
      <c r="N19" s="106">
        <f t="shared" si="4"/>
        <v>12.683955927445243</v>
      </c>
      <c r="O19" s="106">
        <f t="shared" si="4"/>
        <v>14.60125244606553</v>
      </c>
      <c r="P19" s="29"/>
    </row>
    <row r="20" spans="5:16" ht="15" customHeight="1" x14ac:dyDescent="0.2">
      <c r="P20" s="29"/>
    </row>
    <row r="21" spans="5:16" ht="15" customHeight="1" x14ac:dyDescent="0.2">
      <c r="P21" s="29"/>
    </row>
    <row r="22" spans="5:16" ht="15" customHeight="1" x14ac:dyDescent="0.2">
      <c r="P22" s="29"/>
    </row>
    <row r="23" spans="5:16" ht="15" customHeight="1" x14ac:dyDescent="0.2">
      <c r="E23" s="115" t="s">
        <v>229</v>
      </c>
      <c r="F23" s="115" t="s">
        <v>244</v>
      </c>
      <c r="G23" s="115"/>
      <c r="H23" s="115"/>
      <c r="I23" s="115"/>
      <c r="J23" s="115"/>
      <c r="K23" s="115"/>
      <c r="L23" s="115"/>
      <c r="M23" s="115"/>
      <c r="N23" s="115"/>
      <c r="O23" s="115"/>
      <c r="P23" s="29"/>
    </row>
    <row r="24" spans="5:16" ht="15" customHeight="1" x14ac:dyDescent="0.2">
      <c r="P24" s="29"/>
    </row>
    <row r="25" spans="5:16" ht="15" customHeight="1" x14ac:dyDescent="0.2">
      <c r="E25" s="29" t="s">
        <v>230</v>
      </c>
      <c r="F25" s="29" t="s">
        <v>245</v>
      </c>
      <c r="G25" s="129">
        <v>0.08</v>
      </c>
      <c r="H25" s="54">
        <f>Financials!H16*$G$25</f>
        <v>1.36</v>
      </c>
      <c r="I25" s="54">
        <f>Financials!I16*$G$25</f>
        <v>1.6959199999999999</v>
      </c>
      <c r="J25" s="54">
        <f>Financials!J16*$G$25</f>
        <v>2.1168127999999999</v>
      </c>
      <c r="K25" s="54">
        <f>Financials!K16*$G$25</f>
        <v>2.6446766719999992</v>
      </c>
      <c r="L25" s="54">
        <f>Financials!L16*$G$25</f>
        <v>3.30733075328</v>
      </c>
      <c r="M25" s="54">
        <f>Financials!M16*$G$25</f>
        <v>4.1399864060671998</v>
      </c>
      <c r="N25" s="54">
        <f>Financials!N16*$G$25</f>
        <v>5.1872504027233264</v>
      </c>
      <c r="O25" s="54">
        <f>Financials!O16*$G$25</f>
        <v>6.505680463056926</v>
      </c>
      <c r="P25" s="29"/>
    </row>
    <row r="26" spans="5:16" ht="15" customHeight="1" x14ac:dyDescent="0.2">
      <c r="E26" s="29" t="s">
        <v>231</v>
      </c>
      <c r="F26" s="29" t="s">
        <v>246</v>
      </c>
      <c r="G26" s="130">
        <v>0.15</v>
      </c>
      <c r="H26" s="54">
        <f>Financials!H16*$G$26</f>
        <v>2.5499999999999998</v>
      </c>
      <c r="I26" s="54">
        <f>Financials!I16*$G$26</f>
        <v>3.1798499999999996</v>
      </c>
      <c r="J26" s="54">
        <f>Financials!J16*$G$26</f>
        <v>3.9690239999999997</v>
      </c>
      <c r="K26" s="54">
        <f>Financials!K16*$G$26</f>
        <v>4.958768759999999</v>
      </c>
      <c r="L26" s="54">
        <f>Financials!L16*$G$26</f>
        <v>6.2012451623999993</v>
      </c>
      <c r="M26" s="54">
        <f>Financials!M16*$G$26</f>
        <v>7.7624745113759985</v>
      </c>
      <c r="N26" s="54">
        <f>Financials!N16*$G$26</f>
        <v>9.7260945051062375</v>
      </c>
      <c r="O26" s="54">
        <f>Financials!O16*$G$26</f>
        <v>12.198150868231737</v>
      </c>
      <c r="P26" s="29"/>
    </row>
    <row r="27" spans="5:16" ht="15" customHeight="1" x14ac:dyDescent="0.2">
      <c r="E27" s="29" t="s">
        <v>232</v>
      </c>
      <c r="F27" s="29" t="s">
        <v>247</v>
      </c>
      <c r="G27" s="130">
        <v>0.03</v>
      </c>
      <c r="H27" s="54">
        <f>Financials!H16*$G$27</f>
        <v>0.51</v>
      </c>
      <c r="I27" s="54">
        <f>Financials!I16*$G$27</f>
        <v>0.63596999999999992</v>
      </c>
      <c r="J27" s="54">
        <f>Financials!J16*$G$27</f>
        <v>0.79380479999999987</v>
      </c>
      <c r="K27" s="54">
        <f>Financials!K16*$G$27</f>
        <v>0.99175375199999971</v>
      </c>
      <c r="L27" s="54">
        <f>Financials!L16*$G$27</f>
        <v>1.24024903248</v>
      </c>
      <c r="M27" s="54">
        <f>Financials!M16*$G$27</f>
        <v>1.5524949022751997</v>
      </c>
      <c r="N27" s="54">
        <f>Financials!N16*$G$27</f>
        <v>1.9452189010212473</v>
      </c>
      <c r="O27" s="54">
        <f>Financials!O16*$G$27</f>
        <v>2.4396301736463473</v>
      </c>
      <c r="P27" s="29"/>
    </row>
    <row r="28" spans="5:16" ht="15" customHeight="1" x14ac:dyDescent="0.2">
      <c r="E28" s="29" t="s">
        <v>233</v>
      </c>
      <c r="F28" s="29" t="s">
        <v>248</v>
      </c>
      <c r="G28" s="130">
        <v>0.04</v>
      </c>
      <c r="H28" s="54">
        <f>Financials!H16*$G$28</f>
        <v>0.68</v>
      </c>
      <c r="I28" s="54">
        <f>Financials!I16*$G$28</f>
        <v>0.84795999999999994</v>
      </c>
      <c r="J28" s="54">
        <f>Financials!J16*$G$28</f>
        <v>1.0584064</v>
      </c>
      <c r="K28" s="54">
        <f>Financials!K16*$G$28</f>
        <v>1.3223383359999996</v>
      </c>
      <c r="L28" s="54">
        <f>Financials!L16*$G$28</f>
        <v>1.65366537664</v>
      </c>
      <c r="M28" s="54">
        <f>Financials!M16*$G$28</f>
        <v>2.0699932030335999</v>
      </c>
      <c r="N28" s="54">
        <f>Financials!N16*$G$28</f>
        <v>2.5936252013616632</v>
      </c>
      <c r="O28" s="54">
        <f>Financials!O16*$G$28</f>
        <v>3.252840231528463</v>
      </c>
      <c r="P28" s="29"/>
    </row>
    <row r="29" spans="5:16" ht="15" customHeight="1" x14ac:dyDescent="0.2">
      <c r="E29" s="29" t="s">
        <v>234</v>
      </c>
      <c r="F29" s="29" t="s">
        <v>249</v>
      </c>
      <c r="G29" s="131">
        <v>0.02</v>
      </c>
      <c r="H29" s="54">
        <f>Financials!H16*$G$29</f>
        <v>0.34</v>
      </c>
      <c r="I29" s="54">
        <f>Financials!I16*$G$29</f>
        <v>0.42397999999999997</v>
      </c>
      <c r="J29" s="54">
        <f>Financials!J16*$G$29</f>
        <v>0.52920319999999998</v>
      </c>
      <c r="K29" s="54">
        <f>Financials!K16*$G$29</f>
        <v>0.66116916799999981</v>
      </c>
      <c r="L29" s="54">
        <f>Financials!L16*$G$29</f>
        <v>0.82683268832000001</v>
      </c>
      <c r="M29" s="54">
        <f>Financials!M16*$G$29</f>
        <v>1.0349966015168</v>
      </c>
      <c r="N29" s="54">
        <f>Financials!N16*$G$29</f>
        <v>1.2968126006808316</v>
      </c>
      <c r="O29" s="54">
        <f>Financials!O16*$G$29</f>
        <v>1.6264201157642315</v>
      </c>
      <c r="P29" s="29"/>
    </row>
    <row r="30" spans="5:16" ht="15" customHeight="1" x14ac:dyDescent="0.2">
      <c r="P30" s="29"/>
    </row>
    <row r="31" spans="5:16" ht="15" customHeight="1" x14ac:dyDescent="0.2">
      <c r="E31" s="48" t="s">
        <v>235</v>
      </c>
      <c r="F31" s="49"/>
      <c r="G31" s="49"/>
      <c r="H31" s="106">
        <f t="shared" ref="H31:O31" si="5">SUM(H25:H29)</f>
        <v>5.4399999999999995</v>
      </c>
      <c r="I31" s="106">
        <f t="shared" si="5"/>
        <v>6.7836799999999995</v>
      </c>
      <c r="J31" s="106">
        <f t="shared" si="5"/>
        <v>8.4672511999999998</v>
      </c>
      <c r="K31" s="106">
        <f t="shared" si="5"/>
        <v>10.578706687999997</v>
      </c>
      <c r="L31" s="106">
        <f t="shared" si="5"/>
        <v>13.229323013119998</v>
      </c>
      <c r="M31" s="106">
        <f t="shared" si="5"/>
        <v>16.559945624268796</v>
      </c>
      <c r="N31" s="106">
        <f t="shared" si="5"/>
        <v>20.749001610893306</v>
      </c>
      <c r="O31" s="106">
        <f t="shared" si="5"/>
        <v>26.022721852227704</v>
      </c>
      <c r="P31" s="29"/>
    </row>
    <row r="32" spans="5:16" ht="15" customHeight="1" x14ac:dyDescent="0.2">
      <c r="P32" s="29"/>
    </row>
    <row r="33" spans="5:16" ht="15" customHeight="1" x14ac:dyDescent="0.2">
      <c r="P33" s="29"/>
    </row>
    <row r="34" spans="5:16" ht="15" customHeight="1" x14ac:dyDescent="0.2">
      <c r="P34" s="29"/>
    </row>
    <row r="35" spans="5:16" ht="15" customHeight="1" x14ac:dyDescent="0.2">
      <c r="E35" s="48" t="s">
        <v>236</v>
      </c>
      <c r="F35" s="49"/>
      <c r="G35" s="49"/>
      <c r="H35" s="106">
        <f t="shared" ref="H35:O35" si="6">H19+H31</f>
        <v>11.0093</v>
      </c>
      <c r="I35" s="106">
        <f t="shared" si="6"/>
        <v>13.15452</v>
      </c>
      <c r="J35" s="106">
        <f t="shared" si="6"/>
        <v>15.76319646</v>
      </c>
      <c r="K35" s="106">
        <f t="shared" si="6"/>
        <v>18.943260866999996</v>
      </c>
      <c r="L35" s="106">
        <f t="shared" si="6"/>
        <v>22.829241757073998</v>
      </c>
      <c r="M35" s="106">
        <f t="shared" si="6"/>
        <v>27.589111623896692</v>
      </c>
      <c r="N35" s="106">
        <f t="shared" si="6"/>
        <v>33.432957538338549</v>
      </c>
      <c r="O35" s="106">
        <f t="shared" si="6"/>
        <v>40.623974298293234</v>
      </c>
      <c r="P35" s="29"/>
    </row>
    <row r="36" spans="5:16" ht="15" customHeight="1" x14ac:dyDescent="0.2">
      <c r="P36" s="29"/>
    </row>
    <row r="37" spans="5:16" ht="15" customHeight="1" x14ac:dyDescent="0.2">
      <c r="P37" s="29"/>
    </row>
    <row r="38" spans="5:16" ht="15" customHeight="1" x14ac:dyDescent="0.2">
      <c r="P38" s="29"/>
    </row>
    <row r="39" spans="5:16" ht="15" customHeight="1" x14ac:dyDescent="0.2">
      <c r="E39" s="115" t="s">
        <v>237</v>
      </c>
      <c r="F39" s="115"/>
      <c r="G39" s="115"/>
      <c r="H39" s="115"/>
      <c r="I39" s="115"/>
      <c r="J39" s="115"/>
      <c r="K39" s="115"/>
      <c r="L39" s="115"/>
      <c r="M39" s="115"/>
      <c r="N39" s="115"/>
      <c r="O39" s="115"/>
      <c r="P39" s="29"/>
    </row>
    <row r="40" spans="5:16" ht="15" customHeight="1" x14ac:dyDescent="0.2">
      <c r="P40" s="29"/>
    </row>
    <row r="41" spans="5:16" ht="15" customHeight="1" x14ac:dyDescent="0.2">
      <c r="E41" s="29" t="s">
        <v>0</v>
      </c>
      <c r="H41" s="54">
        <f>Financials!H16</f>
        <v>17</v>
      </c>
      <c r="I41" s="54">
        <f>Financials!I16</f>
        <v>21.198999999999998</v>
      </c>
      <c r="J41" s="54">
        <f>Financials!J16</f>
        <v>26.460159999999998</v>
      </c>
      <c r="K41" s="54">
        <f>Financials!K16</f>
        <v>33.058458399999992</v>
      </c>
      <c r="L41" s="54">
        <f>Financials!L16</f>
        <v>41.341634415999998</v>
      </c>
      <c r="M41" s="54">
        <f>Financials!M16</f>
        <v>51.749830075839995</v>
      </c>
      <c r="N41" s="54">
        <f>Financials!N16</f>
        <v>64.840630034041581</v>
      </c>
      <c r="O41" s="54">
        <f>Financials!O16</f>
        <v>81.321005788211579</v>
      </c>
      <c r="P41" s="29"/>
    </row>
    <row r="42" spans="5:16" ht="15" customHeight="1" x14ac:dyDescent="0.2">
      <c r="E42" s="29" t="s">
        <v>238</v>
      </c>
      <c r="H42" s="54">
        <f t="shared" ref="H42:O42" si="7">-H35</f>
        <v>-11.0093</v>
      </c>
      <c r="I42" s="54">
        <f t="shared" si="7"/>
        <v>-13.15452</v>
      </c>
      <c r="J42" s="54">
        <f t="shared" si="7"/>
        <v>-15.76319646</v>
      </c>
      <c r="K42" s="54">
        <f t="shared" si="7"/>
        <v>-18.943260866999996</v>
      </c>
      <c r="L42" s="54">
        <f t="shared" si="7"/>
        <v>-22.829241757073998</v>
      </c>
      <c r="M42" s="54">
        <f t="shared" si="7"/>
        <v>-27.589111623896692</v>
      </c>
      <c r="N42" s="54">
        <f t="shared" si="7"/>
        <v>-33.432957538338549</v>
      </c>
      <c r="O42" s="54">
        <f t="shared" si="7"/>
        <v>-40.623974298293234</v>
      </c>
      <c r="P42" s="29"/>
    </row>
    <row r="43" spans="5:16" ht="15" customHeight="1" x14ac:dyDescent="0.2">
      <c r="P43" s="29"/>
    </row>
    <row r="44" spans="5:16" ht="15" customHeight="1" x14ac:dyDescent="0.2">
      <c r="E44" s="48" t="s">
        <v>2</v>
      </c>
      <c r="F44" s="49"/>
      <c r="G44" s="49"/>
      <c r="H44" s="106">
        <f t="shared" ref="H44:O44" si="8">H41+H42</f>
        <v>5.9907000000000004</v>
      </c>
      <c r="I44" s="106">
        <f t="shared" si="8"/>
        <v>8.0444799999999983</v>
      </c>
      <c r="J44" s="106">
        <f t="shared" si="8"/>
        <v>10.696963539999999</v>
      </c>
      <c r="K44" s="106">
        <f t="shared" si="8"/>
        <v>14.115197532999996</v>
      </c>
      <c r="L44" s="106">
        <f t="shared" si="8"/>
        <v>18.512392658926</v>
      </c>
      <c r="M44" s="106">
        <f t="shared" si="8"/>
        <v>24.160718451943303</v>
      </c>
      <c r="N44" s="106">
        <f t="shared" si="8"/>
        <v>31.407672495703032</v>
      </c>
      <c r="O44" s="106">
        <f t="shared" si="8"/>
        <v>40.697031489918345</v>
      </c>
    </row>
    <row r="45" spans="5:16" ht="15" customHeight="1" x14ac:dyDescent="0.2">
      <c r="E45" s="51" t="s">
        <v>185</v>
      </c>
      <c r="H45" s="105">
        <f>H44-Financials!H19</f>
        <v>1.9907000000000004</v>
      </c>
      <c r="I45" s="105">
        <f>I44-Financials!I19</f>
        <v>3.0444799999999983</v>
      </c>
      <c r="J45" s="105">
        <f>J44-Financials!J19</f>
        <v>2.7589155399999994</v>
      </c>
      <c r="K45" s="105">
        <f>K44-Financials!K19</f>
        <v>4.1976600129999984</v>
      </c>
      <c r="L45" s="105">
        <f>L44-Financials!L19</f>
        <v>6.1099023341260015</v>
      </c>
      <c r="M45" s="105">
        <f>M44-Financials!M19</f>
        <v>8.6357694291913063</v>
      </c>
      <c r="N45" s="105">
        <f>N44-Financials!N19</f>
        <v>11.955483485490557</v>
      </c>
      <c r="O45" s="105">
        <f>O44-Financials!O19</f>
        <v>16.300729753454871</v>
      </c>
    </row>
    <row r="49" spans="1:16" ht="15" customHeight="1" x14ac:dyDescent="0.2">
      <c r="E49" s="115" t="s">
        <v>239</v>
      </c>
      <c r="F49" s="115"/>
      <c r="G49" s="115"/>
      <c r="H49" s="115"/>
      <c r="I49" s="115"/>
      <c r="J49" s="115"/>
      <c r="K49" s="115"/>
      <c r="L49" s="115"/>
      <c r="M49" s="115"/>
      <c r="N49" s="115"/>
      <c r="O49" s="115"/>
    </row>
    <row r="51" spans="1:16" ht="15" customHeight="1" x14ac:dyDescent="0.2">
      <c r="E51" s="29" t="s">
        <v>240</v>
      </c>
      <c r="H51" s="100">
        <f>H35/Financials!H16</f>
        <v>0.64760588235294114</v>
      </c>
      <c r="I51" s="100">
        <f>I35/Financials!I16</f>
        <v>0.62052549648568334</v>
      </c>
      <c r="J51" s="100">
        <f>J35/Financials!J16</f>
        <v>0.59573322534708784</v>
      </c>
      <c r="K51" s="100">
        <f>K35/Financials!K16</f>
        <v>0.57302311674037409</v>
      </c>
      <c r="L51" s="100">
        <f>L35/Financials!L16</f>
        <v>0.55220946340328159</v>
      </c>
      <c r="M51" s="100">
        <f>M35/Financials!M16</f>
        <v>0.53312468047652561</v>
      </c>
      <c r="N51" s="100">
        <f>N35/Financials!N16</f>
        <v>0.51561740718413929</v>
      </c>
      <c r="O51" s="100">
        <f>O35/Financials!O16</f>
        <v>0.49955080983740302</v>
      </c>
    </row>
    <row r="52" spans="1:16" ht="15" customHeight="1" x14ac:dyDescent="0.2">
      <c r="E52" s="29" t="s">
        <v>241</v>
      </c>
      <c r="H52" s="100">
        <f>H19/Financials!H16</f>
        <v>0.32760588235294114</v>
      </c>
      <c r="I52" s="100">
        <f>I19/Financials!I16</f>
        <v>0.30052549648568333</v>
      </c>
      <c r="J52" s="100">
        <f>J19/Financials!J16</f>
        <v>0.27573322534708783</v>
      </c>
      <c r="K52" s="100">
        <f>K19/Financials!K16</f>
        <v>0.25302311674037409</v>
      </c>
      <c r="L52" s="100">
        <f>L19/Financials!L16</f>
        <v>0.23220946340328161</v>
      </c>
      <c r="M52" s="100">
        <f>M19/Financials!M16</f>
        <v>0.21312468047652569</v>
      </c>
      <c r="N52" s="100">
        <f>N19/Financials!N16</f>
        <v>0.19561740718413928</v>
      </c>
      <c r="O52" s="100">
        <f>O19/Financials!O16</f>
        <v>0.17955080983740304</v>
      </c>
    </row>
    <row r="53" spans="1:16" ht="15" customHeight="1" x14ac:dyDescent="0.2">
      <c r="E53" s="29" t="s">
        <v>242</v>
      </c>
      <c r="H53" s="100">
        <f>H31/Financials!H16</f>
        <v>0.31999999999999995</v>
      </c>
      <c r="I53" s="100">
        <f>I31/Financials!I16</f>
        <v>0.32</v>
      </c>
      <c r="J53" s="100">
        <f>J31/Financials!J16</f>
        <v>0.32</v>
      </c>
      <c r="K53" s="100">
        <f>K31/Financials!K16</f>
        <v>0.32</v>
      </c>
      <c r="L53" s="100">
        <f>L31/Financials!L16</f>
        <v>0.31999999999999995</v>
      </c>
      <c r="M53" s="100">
        <f>M31/Financials!M16</f>
        <v>0.31999999999999995</v>
      </c>
      <c r="N53" s="100">
        <f>N31/Financials!N16</f>
        <v>0.32</v>
      </c>
      <c r="O53" s="100">
        <f>O31/Financials!O16</f>
        <v>0.32</v>
      </c>
    </row>
    <row r="56" spans="1:16" ht="15" customHeight="1" x14ac:dyDescent="0.2">
      <c r="A56" s="115" t="s">
        <v>274</v>
      </c>
      <c r="B56" s="115"/>
      <c r="C56" s="115"/>
      <c r="D56" s="115"/>
      <c r="E56" s="115"/>
      <c r="F56" s="115"/>
      <c r="G56" s="115"/>
      <c r="H56" s="115"/>
      <c r="I56" s="115"/>
      <c r="J56" s="115"/>
      <c r="K56" s="115"/>
      <c r="L56" s="115"/>
      <c r="M56" s="115"/>
      <c r="N56" s="115"/>
      <c r="O56" s="115"/>
      <c r="P56" s="169"/>
    </row>
  </sheetData>
  <pageMargins left="0.7" right="0.7" top="0.75" bottom="0.75" header="0.3" footer="0.3"/>
  <pageSetup paperSize="9" scale="42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89163-307F-2E45-822C-4892571CCEE6}">
  <dimension ref="A1:P48"/>
  <sheetViews>
    <sheetView showGridLines="0" view="pageBreakPreview" zoomScaleNormal="100" zoomScaleSheetLayoutView="100" workbookViewId="0">
      <pane xSplit="6" ySplit="11" topLeftCell="G12" activePane="bottomRight" state="frozen"/>
      <selection activeCell="J44" sqref="J44"/>
      <selection pane="topRight" activeCell="J44" sqref="J44"/>
      <selection pane="bottomLeft" activeCell="J44" sqref="J44"/>
      <selection pane="bottomRight" activeCell="J44" sqref="J44"/>
    </sheetView>
  </sheetViews>
  <sheetFormatPr baseColWidth="10" defaultColWidth="8.83203125" defaultRowHeight="15" customHeight="1" x14ac:dyDescent="0.2"/>
  <cols>
    <col min="1" max="4" width="2.33203125" style="29" customWidth="1"/>
    <col min="5" max="5" width="36.6640625" style="29" customWidth="1"/>
    <col min="6" max="7" width="10" style="29" customWidth="1"/>
    <col min="8" max="15" width="15" style="29" customWidth="1"/>
    <col min="16" max="16" width="4.6640625" customWidth="1"/>
    <col min="17" max="16384" width="8.83203125" style="29"/>
  </cols>
  <sheetData>
    <row r="1" spans="1:16" ht="15" customHeight="1" x14ac:dyDescent="0.25">
      <c r="A1" s="165" t="str" cm="1">
        <f t="array" aca="1" ref="A1" ca="1">MID(CELL("filename",B1),FIND("]",CELL("filename",B1))+1,255)</f>
        <v>Working Capital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9"/>
    </row>
    <row r="3" spans="1:16" ht="15" customHeight="1" x14ac:dyDescent="0.2">
      <c r="E3" s="104" t="s">
        <v>172</v>
      </c>
      <c r="F3" s="101"/>
      <c r="G3" s="101"/>
      <c r="H3" s="102">
        <f>Financials!H3</f>
        <v>44562</v>
      </c>
      <c r="I3" s="102">
        <f>Financials!I3</f>
        <v>44927</v>
      </c>
      <c r="J3" s="102">
        <f>Financials!J3</f>
        <v>45292</v>
      </c>
      <c r="K3" s="102">
        <f>Financials!K3</f>
        <v>45658</v>
      </c>
      <c r="L3" s="102">
        <f>Financials!L3</f>
        <v>46023</v>
      </c>
      <c r="M3" s="102">
        <f>Financials!M3</f>
        <v>46388</v>
      </c>
      <c r="N3" s="102">
        <f>Financials!N3</f>
        <v>46753</v>
      </c>
      <c r="O3" s="102">
        <f>Financials!O3</f>
        <v>47119</v>
      </c>
      <c r="P3" s="29"/>
    </row>
    <row r="4" spans="1:16" ht="15" customHeight="1" x14ac:dyDescent="0.2">
      <c r="E4" s="104" t="s">
        <v>173</v>
      </c>
      <c r="F4" s="101"/>
      <c r="G4" s="101"/>
      <c r="H4" s="102">
        <f>Financials!H4</f>
        <v>44926</v>
      </c>
      <c r="I4" s="102">
        <f>Financials!I4</f>
        <v>45291</v>
      </c>
      <c r="J4" s="102">
        <f>Financials!J4</f>
        <v>45657</v>
      </c>
      <c r="K4" s="102">
        <f>Financials!K4</f>
        <v>46022</v>
      </c>
      <c r="L4" s="102">
        <f>Financials!L4</f>
        <v>46387</v>
      </c>
      <c r="M4" s="102">
        <f>Financials!M4</f>
        <v>46752</v>
      </c>
      <c r="N4" s="102">
        <f>Financials!N4</f>
        <v>47118</v>
      </c>
      <c r="O4" s="102">
        <f>Financials!O4</f>
        <v>47483</v>
      </c>
      <c r="P4" s="29"/>
    </row>
    <row r="5" spans="1:16" ht="15" customHeight="1" x14ac:dyDescent="0.2">
      <c r="E5" s="104" t="s">
        <v>174</v>
      </c>
      <c r="F5" s="101"/>
      <c r="G5" s="101"/>
      <c r="H5" s="103">
        <f>Financials!H5</f>
        <v>2022</v>
      </c>
      <c r="I5" s="103">
        <f>Financials!I5</f>
        <v>2023</v>
      </c>
      <c r="J5" s="103">
        <f>Financials!J5</f>
        <v>2024</v>
      </c>
      <c r="K5" s="103">
        <f>Financials!K5</f>
        <v>2025</v>
      </c>
      <c r="L5" s="103">
        <f>Financials!L5</f>
        <v>2026</v>
      </c>
      <c r="M5" s="103">
        <f>Financials!M5</f>
        <v>2027</v>
      </c>
      <c r="N5" s="103">
        <f>Financials!N5</f>
        <v>2028</v>
      </c>
      <c r="O5" s="103">
        <f>Financials!O5</f>
        <v>2029</v>
      </c>
      <c r="P5" s="29"/>
    </row>
    <row r="6" spans="1:16" ht="15" customHeight="1" x14ac:dyDescent="0.2">
      <c r="E6" s="104" t="s">
        <v>175</v>
      </c>
      <c r="F6" s="101"/>
      <c r="G6" s="101"/>
      <c r="H6" s="103">
        <f t="shared" ref="H6:O6" si="0">ROUNDUP(MONTH(H3)/3,0)</f>
        <v>1</v>
      </c>
      <c r="I6" s="103">
        <f t="shared" si="0"/>
        <v>1</v>
      </c>
      <c r="J6" s="103">
        <f t="shared" si="0"/>
        <v>1</v>
      </c>
      <c r="K6" s="103">
        <f t="shared" si="0"/>
        <v>1</v>
      </c>
      <c r="L6" s="103">
        <f t="shared" si="0"/>
        <v>1</v>
      </c>
      <c r="M6" s="103">
        <f t="shared" si="0"/>
        <v>1</v>
      </c>
      <c r="N6" s="103">
        <f t="shared" si="0"/>
        <v>1</v>
      </c>
      <c r="O6" s="103">
        <f t="shared" si="0"/>
        <v>1</v>
      </c>
      <c r="P6" s="29"/>
    </row>
    <row r="7" spans="1:16" ht="15" customHeight="1" x14ac:dyDescent="0.2">
      <c r="E7" s="104" t="s">
        <v>176</v>
      </c>
      <c r="F7" s="101"/>
      <c r="G7" s="101"/>
      <c r="H7" s="103">
        <f t="shared" ref="H7:O7" si="1">MONTH(H4)</f>
        <v>12</v>
      </c>
      <c r="I7" s="103">
        <f t="shared" si="1"/>
        <v>12</v>
      </c>
      <c r="J7" s="103">
        <f t="shared" si="1"/>
        <v>12</v>
      </c>
      <c r="K7" s="103">
        <f t="shared" si="1"/>
        <v>12</v>
      </c>
      <c r="L7" s="103">
        <f t="shared" si="1"/>
        <v>12</v>
      </c>
      <c r="M7" s="103">
        <f t="shared" si="1"/>
        <v>12</v>
      </c>
      <c r="N7" s="103">
        <f t="shared" si="1"/>
        <v>12</v>
      </c>
      <c r="O7" s="103">
        <f t="shared" si="1"/>
        <v>12</v>
      </c>
      <c r="P7" s="29"/>
    </row>
    <row r="8" spans="1:16" ht="15" customHeight="1" x14ac:dyDescent="0.2">
      <c r="E8" s="104" t="s">
        <v>177</v>
      </c>
      <c r="F8" s="101"/>
      <c r="G8" s="101"/>
      <c r="H8" s="103">
        <v>1</v>
      </c>
      <c r="I8" s="103">
        <f t="shared" ref="I8:O8" si="2">H8+1</f>
        <v>2</v>
      </c>
      <c r="J8" s="103">
        <f t="shared" si="2"/>
        <v>3</v>
      </c>
      <c r="K8" s="103">
        <f t="shared" si="2"/>
        <v>4</v>
      </c>
      <c r="L8" s="103">
        <f t="shared" si="2"/>
        <v>5</v>
      </c>
      <c r="M8" s="103">
        <f t="shared" si="2"/>
        <v>6</v>
      </c>
      <c r="N8" s="103">
        <f t="shared" si="2"/>
        <v>7</v>
      </c>
      <c r="O8" s="103">
        <f t="shared" si="2"/>
        <v>8</v>
      </c>
      <c r="P8" s="29"/>
    </row>
    <row r="9" spans="1:16" ht="15" customHeight="1" x14ac:dyDescent="0.2">
      <c r="E9" s="104" t="s">
        <v>178</v>
      </c>
      <c r="F9" s="101"/>
      <c r="G9" s="101"/>
      <c r="H9" s="101" t="s">
        <v>180</v>
      </c>
      <c r="I9" s="101"/>
      <c r="J9" s="101"/>
      <c r="K9" s="101"/>
      <c r="L9" s="101"/>
      <c r="M9" s="101"/>
      <c r="N9" s="101"/>
      <c r="O9" s="101"/>
      <c r="P9" s="29"/>
    </row>
    <row r="10" spans="1:16" ht="15" customHeight="1" x14ac:dyDescent="0.2">
      <c r="E10" s="104" t="s">
        <v>179</v>
      </c>
      <c r="F10" s="101"/>
      <c r="G10" s="101"/>
      <c r="H10" s="101" t="str">
        <f>Financials!H10</f>
        <v>Actual</v>
      </c>
      <c r="I10" s="101" t="str">
        <f>Financials!I10</f>
        <v>Actual</v>
      </c>
      <c r="J10" s="101" t="str">
        <f>Financials!J10</f>
        <v>Actual</v>
      </c>
      <c r="K10" s="101" t="str">
        <f>Financials!K10</f>
        <v>Actual</v>
      </c>
      <c r="L10" s="101" t="str">
        <f>Financials!L10</f>
        <v>Forecast</v>
      </c>
      <c r="M10" s="101" t="str">
        <f>Financials!M10</f>
        <v>Forecast</v>
      </c>
      <c r="N10" s="101" t="str">
        <f>Financials!N10</f>
        <v>Forecast</v>
      </c>
      <c r="O10" s="101" t="str">
        <f>Financials!O10</f>
        <v>Forecast</v>
      </c>
      <c r="P10" s="29"/>
    </row>
    <row r="11" spans="1:16" ht="15" customHeight="1" x14ac:dyDescent="0.2">
      <c r="E11" s="104" t="s">
        <v>113</v>
      </c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29"/>
    </row>
    <row r="12" spans="1:16" ht="15" customHeight="1" x14ac:dyDescent="0.2">
      <c r="P12" s="29"/>
    </row>
    <row r="13" spans="1:16" ht="15" customHeight="1" x14ac:dyDescent="0.2">
      <c r="P13" s="29"/>
    </row>
    <row r="14" spans="1:16" ht="15" customHeight="1" x14ac:dyDescent="0.2">
      <c r="E14" s="115" t="s">
        <v>250</v>
      </c>
      <c r="F14" s="115" t="s">
        <v>265</v>
      </c>
      <c r="G14" s="115"/>
      <c r="H14" s="115"/>
      <c r="I14" s="115"/>
      <c r="J14" s="115"/>
      <c r="K14" s="115"/>
      <c r="L14" s="115"/>
      <c r="M14" s="115"/>
      <c r="N14" s="115"/>
      <c r="O14" s="115"/>
      <c r="P14" s="29"/>
    </row>
    <row r="15" spans="1:16" ht="15" customHeight="1" x14ac:dyDescent="0.2">
      <c r="P15" s="29"/>
    </row>
    <row r="16" spans="1:16" ht="15" customHeight="1" x14ac:dyDescent="0.2">
      <c r="E16" s="29" t="s">
        <v>251</v>
      </c>
      <c r="F16" s="29" t="s">
        <v>266</v>
      </c>
      <c r="G16" s="137">
        <v>60</v>
      </c>
      <c r="H16" s="54">
        <f>Financials!H16*$G$16/$G$43</f>
        <v>2.7945205479452055</v>
      </c>
      <c r="I16" s="54">
        <f>Financials!I16*$G$16/$G$43</f>
        <v>3.4847671232876709</v>
      </c>
      <c r="J16" s="54">
        <f>Financials!J16*$G$16/$G$43</f>
        <v>4.3496153424657535</v>
      </c>
      <c r="K16" s="54">
        <f>Financials!K16*$G$16/$G$43</f>
        <v>5.434267134246574</v>
      </c>
      <c r="L16" s="54">
        <f>Financials!L16*$G$16/$G$43</f>
        <v>6.7958851094794515</v>
      </c>
      <c r="M16" s="54">
        <f>Financials!M16*$G$16/$G$43</f>
        <v>8.5068213823298624</v>
      </c>
      <c r="N16" s="54">
        <f>Financials!N16*$G$16/$G$43</f>
        <v>10.658733704226012</v>
      </c>
      <c r="O16" s="54">
        <f>Financials!O16*$G$16/$G$43</f>
        <v>13.367836567925192</v>
      </c>
      <c r="P16" s="29"/>
    </row>
    <row r="17" spans="5:16" ht="15" customHeight="1" x14ac:dyDescent="0.2">
      <c r="E17" s="29" t="s">
        <v>252</v>
      </c>
      <c r="F17" s="29" t="s">
        <v>267</v>
      </c>
      <c r="G17" s="130">
        <v>0.02</v>
      </c>
      <c r="H17" s="54">
        <f>Financials!H16*$G$17</f>
        <v>0.34</v>
      </c>
      <c r="I17" s="54">
        <f>Financials!I16*$G$17</f>
        <v>0.42397999999999997</v>
      </c>
      <c r="J17" s="54">
        <f>Financials!J16*$G$17</f>
        <v>0.52920319999999998</v>
      </c>
      <c r="K17" s="54">
        <f>Financials!K16*$G$17</f>
        <v>0.66116916799999981</v>
      </c>
      <c r="L17" s="54">
        <f>Financials!L16*$G$17</f>
        <v>0.82683268832000001</v>
      </c>
      <c r="M17" s="54">
        <f>Financials!M16*$G$17</f>
        <v>1.0349966015168</v>
      </c>
      <c r="N17" s="54">
        <f>Financials!N16*$G$17</f>
        <v>1.2968126006808316</v>
      </c>
      <c r="O17" s="54">
        <f>Financials!O16*$G$17</f>
        <v>1.6264201157642315</v>
      </c>
      <c r="P17" s="29"/>
    </row>
    <row r="18" spans="5:16" ht="15" customHeight="1" x14ac:dyDescent="0.2">
      <c r="E18" s="29" t="s">
        <v>253</v>
      </c>
      <c r="F18" s="29" t="s">
        <v>268</v>
      </c>
      <c r="G18" s="131">
        <v>0.03</v>
      </c>
      <c r="H18" s="54">
        <f>Financials!H16*$G$18</f>
        <v>0.51</v>
      </c>
      <c r="I18" s="54">
        <f>Financials!I16*$G$18</f>
        <v>0.63596999999999992</v>
      </c>
      <c r="J18" s="54">
        <f>Financials!J16*$G$18</f>
        <v>0.79380479999999987</v>
      </c>
      <c r="K18" s="54">
        <f>Financials!K16*$G$18</f>
        <v>0.99175375199999971</v>
      </c>
      <c r="L18" s="54">
        <f>Financials!L16*$G$18</f>
        <v>1.24024903248</v>
      </c>
      <c r="M18" s="54">
        <f>Financials!M16*$G$18</f>
        <v>1.5524949022751997</v>
      </c>
      <c r="N18" s="54">
        <f>Financials!N16*$G$18</f>
        <v>1.9452189010212473</v>
      </c>
      <c r="O18" s="54">
        <f>Financials!O16*$G$18</f>
        <v>2.4396301736463473</v>
      </c>
      <c r="P18" s="29"/>
    </row>
    <row r="19" spans="5:16" ht="15" customHeight="1" x14ac:dyDescent="0.2">
      <c r="P19" s="29"/>
    </row>
    <row r="20" spans="5:16" ht="15" customHeight="1" x14ac:dyDescent="0.2">
      <c r="E20" s="48" t="s">
        <v>254</v>
      </c>
      <c r="F20" s="49"/>
      <c r="G20" s="49"/>
      <c r="H20" s="106">
        <f t="shared" ref="H20:O20" si="3">SUM(H16:H18)</f>
        <v>3.6445205479452056</v>
      </c>
      <c r="I20" s="106">
        <f t="shared" si="3"/>
        <v>4.5447171232876702</v>
      </c>
      <c r="J20" s="106">
        <f t="shared" si="3"/>
        <v>5.6726233424657533</v>
      </c>
      <c r="K20" s="106">
        <f t="shared" si="3"/>
        <v>7.0871900542465731</v>
      </c>
      <c r="L20" s="106">
        <f t="shared" si="3"/>
        <v>8.8629668302794506</v>
      </c>
      <c r="M20" s="106">
        <f t="shared" si="3"/>
        <v>11.094312886121863</v>
      </c>
      <c r="N20" s="106">
        <f t="shared" si="3"/>
        <v>13.900765205928092</v>
      </c>
      <c r="O20" s="106">
        <f t="shared" si="3"/>
        <v>17.433886857335771</v>
      </c>
      <c r="P20" s="29"/>
    </row>
    <row r="21" spans="5:16" ht="15" customHeight="1" x14ac:dyDescent="0.2">
      <c r="P21" s="29"/>
    </row>
    <row r="22" spans="5:16" ht="15" customHeight="1" x14ac:dyDescent="0.2">
      <c r="P22" s="29"/>
    </row>
    <row r="23" spans="5:16" ht="15" customHeight="1" x14ac:dyDescent="0.2">
      <c r="E23" s="29" t="s">
        <v>255</v>
      </c>
      <c r="F23" s="29" t="s">
        <v>269</v>
      </c>
      <c r="G23" s="137">
        <v>45</v>
      </c>
      <c r="H23" s="54">
        <f>-Financials!H16*$G$23/$G$43</f>
        <v>-2.095890410958904</v>
      </c>
      <c r="I23" s="54">
        <f>-Financials!I16*$G$23/$G$43</f>
        <v>-2.6135753424657531</v>
      </c>
      <c r="J23" s="54">
        <f>-Financials!J16*$G$23/$G$43</f>
        <v>-3.2622115068493147</v>
      </c>
      <c r="K23" s="54">
        <f>-Financials!K16*$G$23/$G$43</f>
        <v>-4.0757003506849303</v>
      </c>
      <c r="L23" s="54">
        <f>-Financials!L16*$G$23/$G$43</f>
        <v>-5.096913832109589</v>
      </c>
      <c r="M23" s="54">
        <f>-Financials!M16*$G$23/$G$43</f>
        <v>-6.3801160367473964</v>
      </c>
      <c r="N23" s="54">
        <f>-Financials!N16*$G$23/$G$43</f>
        <v>-7.9940502781695102</v>
      </c>
      <c r="O23" s="54">
        <f>-Financials!O16*$G$23/$G$43</f>
        <v>-10.025877425943893</v>
      </c>
      <c r="P23" s="29"/>
    </row>
    <row r="24" spans="5:16" ht="15" customHeight="1" x14ac:dyDescent="0.2">
      <c r="E24" s="29" t="s">
        <v>256</v>
      </c>
      <c r="F24" s="29" t="s">
        <v>270</v>
      </c>
      <c r="G24" s="130">
        <v>0.05</v>
      </c>
      <c r="H24" s="54">
        <f>-Financials!H16*$G$24</f>
        <v>-0.85000000000000009</v>
      </c>
      <c r="I24" s="54">
        <f>-Financials!I16*$G$24</f>
        <v>-1.0599499999999999</v>
      </c>
      <c r="J24" s="54">
        <f>-Financials!J16*$G$24</f>
        <v>-1.323008</v>
      </c>
      <c r="K24" s="54">
        <f>-Financials!K16*$G$24</f>
        <v>-1.6529229199999997</v>
      </c>
      <c r="L24" s="54">
        <f>-Financials!L16*$G$24</f>
        <v>-2.0670817208000001</v>
      </c>
      <c r="M24" s="54">
        <f>-Financials!M16*$G$24</f>
        <v>-2.5874915037920001</v>
      </c>
      <c r="N24" s="54">
        <f>-Financials!N16*$G$24</f>
        <v>-3.2420315017020793</v>
      </c>
      <c r="O24" s="54">
        <f>-Financials!O16*$G$24</f>
        <v>-4.0660502894105788</v>
      </c>
      <c r="P24" s="29"/>
    </row>
    <row r="25" spans="5:16" ht="15" customHeight="1" x14ac:dyDescent="0.2">
      <c r="E25" s="29" t="s">
        <v>257</v>
      </c>
      <c r="F25" s="29" t="s">
        <v>271</v>
      </c>
      <c r="G25" s="130">
        <v>0.25</v>
      </c>
      <c r="H25" s="54">
        <f>-Financials!H16*$G$25</f>
        <v>-4.25</v>
      </c>
      <c r="I25" s="54">
        <f>-Financials!I16*$G$25</f>
        <v>-5.2997499999999995</v>
      </c>
      <c r="J25" s="54">
        <f>-Financials!J16*$G$25</f>
        <v>-6.6150399999999996</v>
      </c>
      <c r="K25" s="54">
        <f>-Financials!K16*$G$25</f>
        <v>-8.264614599999998</v>
      </c>
      <c r="L25" s="54">
        <f>-Financials!L16*$G$25</f>
        <v>-10.335408603999999</v>
      </c>
      <c r="M25" s="54">
        <f>-Financials!M16*$G$25</f>
        <v>-12.937457518959999</v>
      </c>
      <c r="N25" s="54">
        <f>-Financials!N16*$G$25</f>
        <v>-16.210157508510395</v>
      </c>
      <c r="O25" s="54">
        <f>-Financials!O16*$G$25</f>
        <v>-20.330251447052895</v>
      </c>
      <c r="P25" s="29"/>
    </row>
    <row r="26" spans="5:16" ht="15" customHeight="1" x14ac:dyDescent="0.2">
      <c r="E26" s="29" t="s">
        <v>258</v>
      </c>
      <c r="F26" s="29" t="s">
        <v>272</v>
      </c>
      <c r="G26" s="131">
        <v>0.02</v>
      </c>
      <c r="H26" s="54">
        <f>-Financials!H16*$G$26</f>
        <v>-0.34</v>
      </c>
      <c r="I26" s="54">
        <f>-Financials!I16*$G$26</f>
        <v>-0.42397999999999997</v>
      </c>
      <c r="J26" s="54">
        <f>-Financials!J16*$G$26</f>
        <v>-0.52920319999999998</v>
      </c>
      <c r="K26" s="54">
        <f>-Financials!K16*$G$26</f>
        <v>-0.66116916799999981</v>
      </c>
      <c r="L26" s="54">
        <f>-Financials!L16*$G$26</f>
        <v>-0.82683268832000001</v>
      </c>
      <c r="M26" s="54">
        <f>-Financials!M16*$G$26</f>
        <v>-1.0349966015168</v>
      </c>
      <c r="N26" s="54">
        <f>-Financials!N16*$G$26</f>
        <v>-1.2968126006808316</v>
      </c>
      <c r="O26" s="54">
        <f>-Financials!O16*$G$26</f>
        <v>-1.6264201157642315</v>
      </c>
      <c r="P26" s="29"/>
    </row>
    <row r="27" spans="5:16" ht="15" customHeight="1" x14ac:dyDescent="0.2">
      <c r="P27" s="29"/>
    </row>
    <row r="28" spans="5:16" ht="15" customHeight="1" x14ac:dyDescent="0.2">
      <c r="E28" s="48" t="s">
        <v>259</v>
      </c>
      <c r="F28" s="49"/>
      <c r="G28" s="49"/>
      <c r="H28" s="106">
        <f t="shared" ref="H28:O28" si="4">SUM(H23:H26)</f>
        <v>-7.5358904109589044</v>
      </c>
      <c r="I28" s="106">
        <f t="shared" si="4"/>
        <v>-9.397255342465753</v>
      </c>
      <c r="J28" s="106">
        <f t="shared" si="4"/>
        <v>-11.729462706849313</v>
      </c>
      <c r="K28" s="106">
        <f t="shared" si="4"/>
        <v>-14.65440703868493</v>
      </c>
      <c r="L28" s="106">
        <f t="shared" si="4"/>
        <v>-18.326236845229587</v>
      </c>
      <c r="M28" s="106">
        <f t="shared" si="4"/>
        <v>-22.940061661016195</v>
      </c>
      <c r="N28" s="106">
        <f t="shared" si="4"/>
        <v>-28.743051889062816</v>
      </c>
      <c r="O28" s="106">
        <f t="shared" si="4"/>
        <v>-36.048599278171601</v>
      </c>
      <c r="P28" s="29"/>
    </row>
    <row r="29" spans="5:16" ht="15" customHeight="1" x14ac:dyDescent="0.2">
      <c r="P29" s="29"/>
    </row>
    <row r="30" spans="5:16" ht="15" customHeight="1" x14ac:dyDescent="0.2">
      <c r="P30" s="29"/>
    </row>
    <row r="31" spans="5:16" ht="15" customHeight="1" x14ac:dyDescent="0.2">
      <c r="P31" s="29"/>
    </row>
    <row r="32" spans="5:16" ht="15" customHeight="1" x14ac:dyDescent="0.2">
      <c r="E32" s="48" t="s">
        <v>260</v>
      </c>
      <c r="F32" s="49"/>
      <c r="G32" s="135">
        <v>0</v>
      </c>
      <c r="H32" s="106">
        <f t="shared" ref="H32:O32" si="5">H20+H28</f>
        <v>-3.8913698630136988</v>
      </c>
      <c r="I32" s="106">
        <f t="shared" si="5"/>
        <v>-4.8525382191780828</v>
      </c>
      <c r="J32" s="106">
        <f t="shared" si="5"/>
        <v>-6.0568393643835599</v>
      </c>
      <c r="K32" s="106">
        <f t="shared" si="5"/>
        <v>-7.5672169844383568</v>
      </c>
      <c r="L32" s="106">
        <f t="shared" si="5"/>
        <v>-9.4632700149501368</v>
      </c>
      <c r="M32" s="106">
        <f t="shared" si="5"/>
        <v>-11.845748774894332</v>
      </c>
      <c r="N32" s="106">
        <f t="shared" si="5"/>
        <v>-14.842286683134724</v>
      </c>
      <c r="O32" s="106">
        <f t="shared" si="5"/>
        <v>-18.614712420835829</v>
      </c>
      <c r="P32" s="29"/>
    </row>
    <row r="33" spans="1:16" ht="15" customHeight="1" x14ac:dyDescent="0.2">
      <c r="E33" s="51" t="s">
        <v>185</v>
      </c>
      <c r="H33" s="105">
        <f>H32-Financials!H31</f>
        <v>-1.7913698630136987</v>
      </c>
      <c r="I33" s="105">
        <f>I32-Financials!I31</f>
        <v>-1.8525382191780828</v>
      </c>
      <c r="J33" s="105">
        <f>J32-Financials!J31</f>
        <v>0.69050143561644006</v>
      </c>
      <c r="K33" s="105">
        <f>K32-Financials!K31</f>
        <v>1.4246837003616424</v>
      </c>
      <c r="L33" s="105">
        <f>L32-Financials!L31</f>
        <v>1.9056794494498632</v>
      </c>
      <c r="M33" s="105">
        <f>M32-Financials!M31</f>
        <v>3.3169514373267859</v>
      </c>
      <c r="N33" s="105">
        <f>N32-Financials!N31</f>
        <v>5.0637867373160432</v>
      </c>
      <c r="O33" s="105">
        <f>O32-Financials!O31</f>
        <v>6.3508363561451269</v>
      </c>
      <c r="P33" s="29"/>
    </row>
    <row r="34" spans="1:16" ht="15" customHeight="1" x14ac:dyDescent="0.2">
      <c r="P34" s="29"/>
    </row>
    <row r="35" spans="1:16" ht="15" customHeight="1" x14ac:dyDescent="0.2">
      <c r="P35" s="29"/>
    </row>
    <row r="36" spans="1:16" ht="15" customHeight="1" x14ac:dyDescent="0.2">
      <c r="P36" s="29"/>
    </row>
    <row r="37" spans="1:16" ht="15" customHeight="1" x14ac:dyDescent="0.2">
      <c r="E37" s="115" t="s">
        <v>261</v>
      </c>
      <c r="F37" s="115"/>
      <c r="G37" s="115"/>
      <c r="H37" s="115"/>
      <c r="I37" s="115"/>
      <c r="J37" s="115"/>
      <c r="K37" s="115"/>
      <c r="L37" s="115"/>
      <c r="M37" s="115"/>
      <c r="N37" s="115"/>
      <c r="O37" s="115"/>
      <c r="P37" s="29"/>
    </row>
    <row r="38" spans="1:16" ht="15" customHeight="1" x14ac:dyDescent="0.2">
      <c r="P38" s="29"/>
    </row>
    <row r="39" spans="1:16" ht="15" customHeight="1" x14ac:dyDescent="0.2">
      <c r="E39" s="29" t="s">
        <v>129</v>
      </c>
      <c r="H39" s="54">
        <f t="shared" ref="H39:O39" si="6">H32-G32</f>
        <v>-3.8913698630136988</v>
      </c>
      <c r="I39" s="54">
        <f t="shared" si="6"/>
        <v>-0.96116835616438401</v>
      </c>
      <c r="J39" s="54">
        <f t="shared" si="6"/>
        <v>-1.204301145205477</v>
      </c>
      <c r="K39" s="54">
        <f t="shared" si="6"/>
        <v>-1.5103776200547969</v>
      </c>
      <c r="L39" s="54">
        <f t="shared" si="6"/>
        <v>-1.89605303051178</v>
      </c>
      <c r="M39" s="54">
        <f t="shared" si="6"/>
        <v>-2.3824787599441954</v>
      </c>
      <c r="N39" s="54">
        <f t="shared" si="6"/>
        <v>-2.9965379082403913</v>
      </c>
      <c r="O39" s="54">
        <f t="shared" si="6"/>
        <v>-3.7724257377011057</v>
      </c>
      <c r="P39" s="29"/>
    </row>
    <row r="40" spans="1:16" ht="15" customHeight="1" x14ac:dyDescent="0.2">
      <c r="E40" s="51" t="s">
        <v>185</v>
      </c>
      <c r="H40" s="105">
        <f>H39-Financials!H34</f>
        <v>-3.7913698630136987</v>
      </c>
      <c r="I40" s="105">
        <f>I39-Financials!I34</f>
        <v>-1.8611683561643839</v>
      </c>
      <c r="J40" s="105">
        <f>J39-Financials!J34</f>
        <v>-4.951641945205477</v>
      </c>
      <c r="K40" s="105">
        <f>K39-Financials!K34</f>
        <v>-3.7549375048547962</v>
      </c>
      <c r="L40" s="105">
        <f>L39-Financials!L34</f>
        <v>-4.2731018101117808</v>
      </c>
      <c r="M40" s="105">
        <f>M39-Financials!M34</f>
        <v>-6.1762295077653135</v>
      </c>
      <c r="N40" s="105">
        <f>N39-Financials!N34</f>
        <v>-7.73991111647004</v>
      </c>
      <c r="O40" s="105">
        <f>O39-Financials!O34</f>
        <v>-8.831901094231295</v>
      </c>
      <c r="P40" s="29"/>
    </row>
    <row r="41" spans="1:16" ht="15" customHeight="1" x14ac:dyDescent="0.2">
      <c r="P41" s="29"/>
    </row>
    <row r="42" spans="1:16" ht="15" customHeight="1" x14ac:dyDescent="0.2">
      <c r="P42" s="29"/>
    </row>
    <row r="43" spans="1:16" ht="15" customHeight="1" x14ac:dyDescent="0.2">
      <c r="E43" s="29" t="s">
        <v>262</v>
      </c>
      <c r="F43" s="29" t="s">
        <v>273</v>
      </c>
      <c r="G43" s="140">
        <v>365</v>
      </c>
      <c r="H43" s="107">
        <f t="shared" ref="H43:O43" si="7">$G$16</f>
        <v>60</v>
      </c>
      <c r="I43" s="107">
        <f t="shared" si="7"/>
        <v>60</v>
      </c>
      <c r="J43" s="107">
        <f t="shared" si="7"/>
        <v>60</v>
      </c>
      <c r="K43" s="107">
        <f t="shared" si="7"/>
        <v>60</v>
      </c>
      <c r="L43" s="107">
        <f t="shared" si="7"/>
        <v>60</v>
      </c>
      <c r="M43" s="107">
        <f t="shared" si="7"/>
        <v>60</v>
      </c>
      <c r="N43" s="107">
        <f t="shared" si="7"/>
        <v>60</v>
      </c>
      <c r="O43" s="107">
        <f t="shared" si="7"/>
        <v>60</v>
      </c>
      <c r="P43" s="29"/>
    </row>
    <row r="44" spans="1:16" ht="15" customHeight="1" x14ac:dyDescent="0.2">
      <c r="E44" s="29" t="s">
        <v>263</v>
      </c>
      <c r="H44" s="107">
        <f t="shared" ref="H44:O44" si="8">$G$23</f>
        <v>45</v>
      </c>
      <c r="I44" s="107">
        <f t="shared" si="8"/>
        <v>45</v>
      </c>
      <c r="J44" s="107">
        <f t="shared" si="8"/>
        <v>45</v>
      </c>
      <c r="K44" s="107">
        <f t="shared" si="8"/>
        <v>45</v>
      </c>
      <c r="L44" s="107">
        <f t="shared" si="8"/>
        <v>45</v>
      </c>
      <c r="M44" s="107">
        <f t="shared" si="8"/>
        <v>45</v>
      </c>
      <c r="N44" s="107">
        <f t="shared" si="8"/>
        <v>45</v>
      </c>
      <c r="O44" s="107">
        <f t="shared" si="8"/>
        <v>45</v>
      </c>
    </row>
    <row r="45" spans="1:16" ht="15" customHeight="1" x14ac:dyDescent="0.2">
      <c r="E45" s="29" t="s">
        <v>264</v>
      </c>
      <c r="H45" s="100">
        <f>H32/Financials!H16</f>
        <v>-0.22890410958904112</v>
      </c>
      <c r="I45" s="100">
        <f>I32/Financials!I16</f>
        <v>-0.22890410958904114</v>
      </c>
      <c r="J45" s="100">
        <f>J32/Financials!J16</f>
        <v>-0.22890410958904103</v>
      </c>
      <c r="K45" s="100">
        <f>K32/Financials!K16</f>
        <v>-0.22890410958904117</v>
      </c>
      <c r="L45" s="100">
        <f>L32/Financials!L16</f>
        <v>-0.22890410958904109</v>
      </c>
      <c r="M45" s="100">
        <f>M32/Financials!M16</f>
        <v>-0.22890410958904109</v>
      </c>
      <c r="N45" s="100">
        <f>N32/Financials!N16</f>
        <v>-0.22890410958904109</v>
      </c>
      <c r="O45" s="100">
        <f>O32/Financials!O16</f>
        <v>-0.22890410958904112</v>
      </c>
    </row>
    <row r="48" spans="1:16" ht="15" customHeight="1" x14ac:dyDescent="0.2">
      <c r="A48" s="115" t="s">
        <v>274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115"/>
      <c r="N48" s="115"/>
      <c r="O48" s="115"/>
      <c r="P48" s="169"/>
    </row>
  </sheetData>
  <pageMargins left="0.7" right="0.7" top="0.75" bottom="0.75" header="0.3" footer="0.3"/>
  <pageSetup paperSize="9" scale="42"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56B44-1CB7-8943-BBDA-429F9A00CC4E}">
  <dimension ref="A1:Q179"/>
  <sheetViews>
    <sheetView workbookViewId="0"/>
  </sheetViews>
  <sheetFormatPr baseColWidth="10" defaultRowHeight="15" x14ac:dyDescent="0.2"/>
  <sheetData>
    <row r="1" spans="1:11" x14ac:dyDescent="0.2">
      <c r="A1" s="10"/>
      <c r="B1" s="10"/>
      <c r="C1" s="11"/>
      <c r="D1" s="11"/>
      <c r="E1" s="11"/>
      <c r="F1" s="11"/>
      <c r="G1" s="11"/>
      <c r="H1" s="11"/>
      <c r="I1" s="11"/>
      <c r="J1" s="11"/>
      <c r="K1" s="11"/>
    </row>
    <row r="2" spans="1:11" x14ac:dyDescent="0.2">
      <c r="A2" s="10"/>
      <c r="B2" s="10"/>
      <c r="C2" s="11"/>
      <c r="D2" s="11"/>
      <c r="E2" s="11"/>
      <c r="F2" s="11"/>
      <c r="G2" s="11"/>
      <c r="H2" s="11"/>
      <c r="I2" s="11"/>
      <c r="J2" s="11"/>
      <c r="K2" s="11"/>
    </row>
    <row r="3" spans="1:11" x14ac:dyDescent="0.2">
      <c r="A3" s="10"/>
      <c r="B3" s="10"/>
      <c r="C3" s="11"/>
      <c r="D3" s="11"/>
      <c r="E3" s="11"/>
      <c r="F3" s="11"/>
      <c r="G3" s="11"/>
      <c r="H3" s="11"/>
      <c r="I3" s="11"/>
      <c r="J3" s="11"/>
      <c r="K3" s="11"/>
    </row>
    <row r="4" spans="1:11" x14ac:dyDescent="0.2">
      <c r="A4" s="10"/>
      <c r="B4" s="10"/>
      <c r="C4" s="11"/>
      <c r="D4" s="11"/>
      <c r="E4" s="11"/>
      <c r="F4" s="11"/>
      <c r="G4" s="11"/>
      <c r="H4" s="11"/>
      <c r="I4" s="11"/>
      <c r="J4" s="11"/>
      <c r="K4" s="11"/>
    </row>
    <row r="5" spans="1:11" x14ac:dyDescent="0.2">
      <c r="A5" s="42"/>
      <c r="B5" s="42"/>
      <c r="C5" s="29"/>
      <c r="D5" s="29"/>
      <c r="E5" s="29"/>
      <c r="F5" s="29"/>
      <c r="G5" s="29"/>
      <c r="H5" s="29"/>
      <c r="I5" s="29"/>
      <c r="J5" s="29"/>
      <c r="K5" s="29"/>
    </row>
    <row r="6" spans="1:11" x14ac:dyDescent="0.2">
      <c r="A6" s="42"/>
      <c r="B6" s="29"/>
      <c r="C6" s="29"/>
      <c r="D6" s="29"/>
      <c r="E6" s="29"/>
      <c r="F6" s="29"/>
      <c r="G6" s="29"/>
      <c r="H6" s="29"/>
      <c r="I6" s="29"/>
      <c r="J6" s="29"/>
      <c r="K6" s="29"/>
    </row>
    <row r="7" spans="1:11" x14ac:dyDescent="0.2">
      <c r="A7" s="42"/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1:11" x14ac:dyDescent="0.2">
      <c r="A8" s="42"/>
      <c r="B8" s="42"/>
      <c r="C8" s="29"/>
      <c r="D8" s="29"/>
      <c r="E8" s="29"/>
      <c r="F8" s="29"/>
      <c r="G8" s="29"/>
      <c r="H8" s="29"/>
      <c r="I8" s="29"/>
      <c r="J8" s="29"/>
      <c r="K8" s="29"/>
    </row>
    <row r="9" spans="1:11" x14ac:dyDescent="0.2">
      <c r="A9" s="42"/>
      <c r="B9" s="29"/>
      <c r="C9" s="29"/>
      <c r="D9" s="29"/>
      <c r="E9" s="29"/>
      <c r="F9" s="29"/>
      <c r="G9" s="29"/>
      <c r="H9" s="29"/>
      <c r="I9" s="29"/>
      <c r="J9" s="29"/>
      <c r="K9" s="29"/>
    </row>
    <row r="10" spans="1:11" x14ac:dyDescent="0.2">
      <c r="A10" s="42"/>
      <c r="B10" s="29"/>
      <c r="C10" s="29"/>
      <c r="D10" s="29"/>
      <c r="E10" s="29"/>
      <c r="F10" s="29"/>
      <c r="G10" s="29"/>
      <c r="H10" s="29"/>
      <c r="I10" s="29"/>
      <c r="J10" s="29"/>
      <c r="K10" s="29"/>
    </row>
    <row r="11" spans="1:11" x14ac:dyDescent="0.2">
      <c r="A11" s="42"/>
      <c r="B11" s="42"/>
      <c r="C11" s="29"/>
      <c r="D11" s="29"/>
      <c r="E11" s="29"/>
      <c r="F11" s="29"/>
      <c r="G11" s="29"/>
      <c r="H11" s="29"/>
      <c r="I11" s="29"/>
      <c r="J11" s="29"/>
      <c r="K11" s="29"/>
    </row>
    <row r="12" spans="1:11" x14ac:dyDescent="0.2">
      <c r="A12" s="42"/>
      <c r="B12" s="42"/>
      <c r="C12" s="29"/>
      <c r="D12" s="29"/>
      <c r="E12" s="29"/>
      <c r="F12" s="29"/>
      <c r="G12" s="29"/>
      <c r="H12" s="29"/>
      <c r="I12" s="29"/>
      <c r="J12" s="29"/>
      <c r="K12" s="29"/>
    </row>
    <row r="13" spans="1:11" x14ac:dyDescent="0.2">
      <c r="A13" s="42"/>
      <c r="B13" s="29"/>
      <c r="C13" s="29"/>
      <c r="D13" s="29"/>
      <c r="E13" s="29"/>
      <c r="F13" s="29"/>
      <c r="G13" s="29"/>
      <c r="H13" s="29"/>
      <c r="I13" s="29"/>
      <c r="J13" s="29"/>
      <c r="K13" s="29"/>
    </row>
    <row r="14" spans="1:11" x14ac:dyDescent="0.2">
      <c r="A14" s="42"/>
      <c r="B14" s="29"/>
      <c r="C14" s="29"/>
      <c r="D14" s="29"/>
      <c r="E14" s="29"/>
      <c r="F14" s="29"/>
      <c r="G14" s="29"/>
      <c r="H14" s="29"/>
      <c r="I14" s="29"/>
      <c r="J14" s="29"/>
      <c r="K14" s="29"/>
    </row>
    <row r="15" spans="1:11" x14ac:dyDescent="0.2">
      <c r="A15" s="42"/>
      <c r="B15" s="42"/>
      <c r="C15" s="29"/>
      <c r="D15" s="29"/>
      <c r="E15" s="29"/>
      <c r="F15" s="29"/>
      <c r="G15" s="29"/>
      <c r="H15" s="29"/>
      <c r="I15" s="29"/>
      <c r="J15" s="29"/>
      <c r="K15" s="29"/>
    </row>
    <row r="16" spans="1:11" x14ac:dyDescent="0.2">
      <c r="A16" s="42"/>
      <c r="B16" s="29"/>
      <c r="C16" s="29"/>
      <c r="D16" s="29"/>
      <c r="E16" s="29"/>
      <c r="F16" s="29"/>
      <c r="G16" s="29"/>
      <c r="H16" s="29"/>
      <c r="I16" s="29"/>
      <c r="J16" s="29"/>
      <c r="K16" s="29"/>
    </row>
    <row r="17" spans="1:11" x14ac:dyDescent="0.2">
      <c r="A17" s="32"/>
      <c r="B17" s="33"/>
      <c r="C17" s="34"/>
      <c r="D17" s="34"/>
      <c r="E17" s="35"/>
      <c r="F17" s="35"/>
      <c r="G17" s="35"/>
      <c r="H17" s="35"/>
      <c r="I17" s="35"/>
      <c r="J17" s="35"/>
    </row>
    <row r="18" spans="1:11" x14ac:dyDescent="0.2">
      <c r="A18" s="32"/>
      <c r="B18" s="33"/>
      <c r="C18" s="34"/>
      <c r="D18" s="34"/>
      <c r="E18" s="35"/>
      <c r="F18" s="35"/>
      <c r="G18" s="35"/>
      <c r="H18" s="35"/>
      <c r="I18" s="35"/>
      <c r="J18" s="35"/>
    </row>
    <row r="19" spans="1:11" x14ac:dyDescent="0.2">
      <c r="A19" s="39"/>
      <c r="B19" s="40"/>
      <c r="C19" s="40"/>
      <c r="D19" s="41"/>
      <c r="E19" s="41"/>
      <c r="F19" s="41"/>
      <c r="G19" s="41"/>
      <c r="H19" s="41"/>
      <c r="I19" s="41"/>
    </row>
    <row r="20" spans="1:11" x14ac:dyDescent="0.2">
      <c r="A20" s="39"/>
      <c r="B20" s="40"/>
      <c r="C20" s="40"/>
      <c r="D20" s="41"/>
      <c r="E20" s="41"/>
      <c r="F20" s="41"/>
      <c r="G20" s="41"/>
      <c r="H20" s="41"/>
      <c r="I20" s="41"/>
    </row>
    <row r="21" spans="1:11" x14ac:dyDescent="0.2">
      <c r="A21" s="32"/>
      <c r="B21" s="33"/>
      <c r="C21" s="34"/>
      <c r="D21" s="34"/>
      <c r="E21" s="35"/>
      <c r="F21" s="35"/>
      <c r="G21" s="35"/>
      <c r="H21" s="35"/>
      <c r="I21" s="35"/>
      <c r="J21" s="35"/>
    </row>
    <row r="22" spans="1:11" x14ac:dyDescent="0.2">
      <c r="A22" s="39"/>
      <c r="B22" s="40"/>
      <c r="C22" s="40"/>
      <c r="D22" s="41"/>
      <c r="E22" s="41"/>
      <c r="F22" s="41"/>
      <c r="G22" s="41"/>
      <c r="H22" s="41"/>
      <c r="I22" s="41"/>
      <c r="J22" s="29"/>
      <c r="K22" s="29"/>
    </row>
    <row r="23" spans="1:11" x14ac:dyDescent="0.2">
      <c r="A23" s="97"/>
      <c r="B23" s="97"/>
      <c r="C23" s="97"/>
      <c r="D23" s="97"/>
      <c r="E23" s="97"/>
      <c r="F23" s="97"/>
    </row>
    <row r="24" spans="1:11" x14ac:dyDescent="0.2">
      <c r="A24" s="97"/>
      <c r="B24" s="97"/>
      <c r="C24" s="97"/>
      <c r="D24" s="97"/>
      <c r="E24" s="97"/>
      <c r="F24" s="97"/>
    </row>
    <row r="25" spans="1:11" x14ac:dyDescent="0.2">
      <c r="A25" s="97"/>
      <c r="B25" s="97"/>
      <c r="C25" s="97"/>
      <c r="D25" s="97"/>
      <c r="E25" s="97"/>
      <c r="F25" s="97"/>
      <c r="G25" s="29"/>
      <c r="H25" s="29"/>
      <c r="I25" s="29"/>
    </row>
    <row r="26" spans="1:11" x14ac:dyDescent="0.2">
      <c r="A26" s="97"/>
      <c r="B26" s="97"/>
      <c r="C26" s="97"/>
      <c r="D26" s="97"/>
      <c r="E26" s="97"/>
      <c r="F26" s="97"/>
      <c r="G26" s="29"/>
      <c r="H26" s="29"/>
    </row>
    <row r="27" spans="1:11" x14ac:dyDescent="0.2">
      <c r="A27" s="97"/>
      <c r="B27" s="97"/>
      <c r="C27" s="97"/>
      <c r="D27" s="97"/>
      <c r="E27" s="97"/>
      <c r="F27" s="97"/>
      <c r="G27" s="97"/>
      <c r="H27" s="97"/>
    </row>
    <row r="28" spans="1:11" x14ac:dyDescent="0.2">
      <c r="A28" s="97"/>
      <c r="B28" s="97"/>
      <c r="C28" s="97"/>
      <c r="D28" s="97"/>
      <c r="E28" s="97"/>
      <c r="F28" s="97"/>
      <c r="G28" s="29"/>
      <c r="H28" s="29"/>
    </row>
    <row r="29" spans="1:11" x14ac:dyDescent="0.2">
      <c r="A29" s="97"/>
      <c r="B29" s="97"/>
      <c r="C29" s="97"/>
      <c r="D29" s="97"/>
      <c r="E29" s="97"/>
      <c r="F29" s="97"/>
      <c r="G29" s="29"/>
      <c r="H29" s="29"/>
    </row>
    <row r="30" spans="1:11" x14ac:dyDescent="0.2">
      <c r="A30" s="109"/>
      <c r="B30" s="110"/>
      <c r="C30" s="29"/>
      <c r="D30" s="29"/>
      <c r="E30" s="29"/>
      <c r="F30" s="29"/>
      <c r="G30" s="29"/>
      <c r="H30" s="29"/>
    </row>
    <row r="31" spans="1:11" x14ac:dyDescent="0.2">
      <c r="A31" s="109"/>
      <c r="B31" s="110"/>
      <c r="C31" s="29"/>
      <c r="D31" s="29"/>
      <c r="E31" s="29"/>
      <c r="F31" s="29"/>
      <c r="G31" s="29"/>
      <c r="H31" s="29"/>
      <c r="I31" s="29"/>
      <c r="J31" s="29"/>
      <c r="K31" s="29"/>
    </row>
    <row r="32" spans="1:11" x14ac:dyDescent="0.2">
      <c r="A32" s="109"/>
      <c r="B32" s="110"/>
      <c r="C32" s="29"/>
      <c r="D32" s="29"/>
      <c r="E32" s="29"/>
      <c r="F32" s="29"/>
      <c r="G32" s="29"/>
      <c r="H32" s="29"/>
      <c r="I32" s="29"/>
      <c r="J32" s="29"/>
      <c r="K32" s="29"/>
    </row>
    <row r="33" spans="1:11" x14ac:dyDescent="0.2">
      <c r="A33" s="110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 x14ac:dyDescent="0.2">
      <c r="A34" s="109"/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 x14ac:dyDescent="0.2">
      <c r="A35" s="109"/>
      <c r="B35" s="29"/>
      <c r="C35" s="29"/>
      <c r="D35" s="29"/>
      <c r="E35" s="29"/>
      <c r="F35" s="29"/>
      <c r="G35" s="29"/>
      <c r="H35" s="29"/>
      <c r="I35" s="29"/>
      <c r="J35" s="29"/>
      <c r="K35" s="29"/>
    </row>
    <row r="36" spans="1:11" x14ac:dyDescent="0.2">
      <c r="A36" s="109"/>
      <c r="B36" s="29"/>
      <c r="C36" s="29"/>
      <c r="D36" s="29"/>
      <c r="E36" s="29"/>
      <c r="F36" s="29"/>
      <c r="G36" s="29"/>
      <c r="H36" s="29"/>
      <c r="I36" s="29"/>
      <c r="J36" s="29"/>
      <c r="K36" s="29"/>
    </row>
    <row r="37" spans="1:11" x14ac:dyDescent="0.2">
      <c r="A37" s="109"/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1:11" x14ac:dyDescent="0.2">
      <c r="A38" s="109"/>
      <c r="B38" s="111"/>
      <c r="C38" s="29"/>
      <c r="D38" s="29"/>
      <c r="E38" s="29"/>
      <c r="F38" s="29"/>
      <c r="G38" s="29"/>
      <c r="H38" s="29"/>
      <c r="I38" s="29"/>
      <c r="J38" s="29"/>
      <c r="K38" s="29"/>
    </row>
    <row r="39" spans="1:11" x14ac:dyDescent="0.2">
      <c r="A39" s="109"/>
      <c r="B39" s="111"/>
      <c r="C39" s="29"/>
      <c r="D39" s="29"/>
      <c r="E39" s="29"/>
      <c r="F39" s="29"/>
      <c r="G39" s="29"/>
      <c r="H39" s="29"/>
      <c r="I39" s="29"/>
      <c r="J39" s="29"/>
      <c r="K39" s="29"/>
    </row>
    <row r="40" spans="1:11" x14ac:dyDescent="0.2">
      <c r="A40" s="109"/>
      <c r="B40" s="111"/>
    </row>
    <row r="41" spans="1:11" x14ac:dyDescent="0.2">
      <c r="A41" s="109"/>
      <c r="B41" s="111"/>
      <c r="C41" s="29"/>
      <c r="D41" s="29"/>
      <c r="E41" s="29"/>
      <c r="F41" s="29"/>
      <c r="G41" s="29"/>
      <c r="H41" s="29"/>
      <c r="I41" s="29"/>
    </row>
    <row r="42" spans="1:11" x14ac:dyDescent="0.2">
      <c r="A42" s="111"/>
      <c r="B42" s="29"/>
      <c r="C42" s="29"/>
      <c r="D42" s="29"/>
      <c r="E42" s="29"/>
      <c r="F42" s="29"/>
      <c r="G42" s="29"/>
      <c r="H42" s="29"/>
      <c r="I42" s="29"/>
    </row>
    <row r="43" spans="1:11" x14ac:dyDescent="0.2">
      <c r="A43" s="111"/>
      <c r="B43" s="29"/>
      <c r="C43" s="29"/>
      <c r="D43" s="29"/>
      <c r="E43" s="29"/>
      <c r="F43" s="29"/>
      <c r="G43" s="29"/>
      <c r="H43" s="29"/>
      <c r="I43" s="29"/>
    </row>
    <row r="44" spans="1:11" x14ac:dyDescent="0.2">
      <c r="A44" s="111"/>
      <c r="B44" s="29"/>
      <c r="C44" s="29"/>
      <c r="D44" s="29"/>
      <c r="E44" s="29"/>
      <c r="F44" s="29"/>
      <c r="G44" s="29"/>
      <c r="H44" s="29"/>
      <c r="I44" s="29"/>
    </row>
    <row r="45" spans="1:11" x14ac:dyDescent="0.2">
      <c r="A45" s="111"/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spans="1:11" x14ac:dyDescent="0.2">
      <c r="A46" s="109"/>
    </row>
    <row r="47" spans="1:11" x14ac:dyDescent="0.2">
      <c r="A47" s="109"/>
      <c r="B47" s="29"/>
      <c r="C47" s="29"/>
      <c r="D47" s="29"/>
      <c r="E47" s="29"/>
      <c r="F47" s="29"/>
      <c r="G47" s="29"/>
      <c r="H47" s="29"/>
      <c r="I47" s="29"/>
    </row>
    <row r="48" spans="1:11" x14ac:dyDescent="0.2">
      <c r="A48" s="109"/>
      <c r="B48" s="29"/>
      <c r="C48" s="29"/>
      <c r="D48" s="29"/>
      <c r="E48" s="29"/>
      <c r="F48" s="29"/>
      <c r="G48" s="29"/>
      <c r="H48" s="29"/>
      <c r="I48" s="29"/>
    </row>
    <row r="49" spans="1:11" x14ac:dyDescent="0.2">
      <c r="A49" s="109"/>
      <c r="B49" s="29"/>
      <c r="C49" s="29"/>
      <c r="D49" s="29"/>
      <c r="E49" s="29"/>
      <c r="F49" s="29"/>
      <c r="G49" s="29"/>
      <c r="H49" s="29"/>
      <c r="I49" s="29"/>
    </row>
    <row r="50" spans="1:11" x14ac:dyDescent="0.2">
      <c r="A50" s="109"/>
      <c r="B50" s="29"/>
      <c r="C50" s="29"/>
      <c r="D50" s="29"/>
      <c r="E50" s="29"/>
      <c r="F50" s="29"/>
      <c r="G50" s="29"/>
      <c r="H50" s="29"/>
      <c r="I50" s="29"/>
    </row>
    <row r="51" spans="1:11" x14ac:dyDescent="0.2">
      <c r="A51" s="109"/>
      <c r="B51" s="29"/>
      <c r="C51" s="29"/>
      <c r="D51" s="29"/>
      <c r="E51" s="29"/>
      <c r="F51" s="29"/>
      <c r="G51" s="29"/>
      <c r="H51" s="29"/>
      <c r="I51" s="29"/>
      <c r="J51" s="29"/>
      <c r="K51" s="29"/>
    </row>
    <row r="52" spans="1:11" x14ac:dyDescent="0.2">
      <c r="A52" s="111"/>
    </row>
    <row r="53" spans="1:11" x14ac:dyDescent="0.2">
      <c r="A53" s="109"/>
      <c r="B53" s="29"/>
      <c r="C53" s="29"/>
      <c r="D53" s="29"/>
      <c r="E53" s="29"/>
      <c r="F53" s="29"/>
      <c r="G53" s="29"/>
      <c r="H53" s="29"/>
    </row>
    <row r="54" spans="1:11" x14ac:dyDescent="0.2">
      <c r="A54" s="109"/>
      <c r="B54" s="29"/>
      <c r="C54" s="29"/>
      <c r="D54" s="29"/>
      <c r="E54" s="29"/>
      <c r="F54" s="29"/>
      <c r="G54" s="29"/>
      <c r="H54" s="29"/>
    </row>
    <row r="55" spans="1:11" x14ac:dyDescent="0.2">
      <c r="A55" s="111"/>
      <c r="B55" s="29"/>
      <c r="C55" s="29"/>
      <c r="D55" s="29"/>
      <c r="E55" s="29"/>
      <c r="F55" s="29"/>
      <c r="G55" s="29"/>
      <c r="H55" s="29"/>
    </row>
    <row r="56" spans="1:11" x14ac:dyDescent="0.2">
      <c r="A56" s="109"/>
      <c r="B56" s="54"/>
    </row>
    <row r="57" spans="1:11" x14ac:dyDescent="0.2">
      <c r="A57" s="109"/>
      <c r="B57" s="54"/>
    </row>
    <row r="58" spans="1:11" x14ac:dyDescent="0.2">
      <c r="A58" s="109"/>
      <c r="B58" s="54"/>
    </row>
    <row r="59" spans="1:11" x14ac:dyDescent="0.2">
      <c r="A59" s="112"/>
    </row>
    <row r="60" spans="1:11" x14ac:dyDescent="0.2">
      <c r="A60" s="111"/>
    </row>
    <row r="61" spans="1:11" x14ac:dyDescent="0.2">
      <c r="A61" s="55"/>
    </row>
    <row r="62" spans="1:11" x14ac:dyDescent="0.2">
      <c r="A62" s="55"/>
    </row>
    <row r="63" spans="1:11" x14ac:dyDescent="0.2">
      <c r="A63" s="56"/>
    </row>
    <row r="64" spans="1:11" x14ac:dyDescent="0.2">
      <c r="A64" s="57"/>
      <c r="B64" s="57"/>
      <c r="C64" s="57"/>
    </row>
    <row r="65" spans="1:11" x14ac:dyDescent="0.2">
      <c r="A65" s="57"/>
      <c r="B65" s="57"/>
      <c r="C65" s="57"/>
      <c r="D65" s="57"/>
    </row>
    <row r="66" spans="1:11" x14ac:dyDescent="0.2">
      <c r="A66" s="58"/>
      <c r="B66" s="58"/>
      <c r="C66" s="58"/>
      <c r="D66" s="58"/>
    </row>
    <row r="67" spans="1:11" x14ac:dyDescent="0.2">
      <c r="A67" s="58"/>
      <c r="B67" s="58"/>
      <c r="C67" s="58"/>
      <c r="D67" s="58"/>
    </row>
    <row r="68" spans="1:11" x14ac:dyDescent="0.2">
      <c r="A68" s="58"/>
      <c r="B68" s="58"/>
      <c r="C68" s="58"/>
      <c r="D68" s="58"/>
    </row>
    <row r="69" spans="1:11" x14ac:dyDescent="0.2">
      <c r="A69" s="55"/>
    </row>
    <row r="70" spans="1:11" x14ac:dyDescent="0.2">
      <c r="A70" s="55"/>
    </row>
    <row r="71" spans="1:11" x14ac:dyDescent="0.2">
      <c r="A71" s="56"/>
    </row>
    <row r="72" spans="1:11" x14ac:dyDescent="0.2">
      <c r="A72" s="57"/>
      <c r="B72" s="57"/>
      <c r="C72" s="29"/>
      <c r="D72" s="29"/>
      <c r="E72" s="29"/>
      <c r="F72" s="29"/>
      <c r="G72" s="29"/>
      <c r="H72" s="29"/>
      <c r="I72" s="29"/>
      <c r="J72" s="29"/>
      <c r="K72" s="29"/>
    </row>
    <row r="73" spans="1:11" x14ac:dyDescent="0.2">
      <c r="A73" s="57"/>
      <c r="B73" s="57"/>
      <c r="C73" s="57"/>
      <c r="D73" s="29"/>
      <c r="E73" s="29"/>
      <c r="F73" s="29"/>
      <c r="G73" s="29"/>
      <c r="H73" s="29"/>
      <c r="I73" s="29"/>
      <c r="J73" s="29"/>
      <c r="K73" s="29"/>
    </row>
    <row r="74" spans="1:11" x14ac:dyDescent="0.2">
      <c r="A74" s="58"/>
      <c r="B74" s="58"/>
      <c r="C74" s="58"/>
      <c r="D74" s="29"/>
      <c r="E74" s="29"/>
      <c r="F74" s="29"/>
      <c r="G74" s="29"/>
      <c r="H74" s="29"/>
      <c r="I74" s="29"/>
      <c r="J74" s="29"/>
      <c r="K74" s="29"/>
    </row>
    <row r="75" spans="1:11" x14ac:dyDescent="0.2">
      <c r="A75" s="58"/>
      <c r="B75" s="58"/>
      <c r="C75" s="58"/>
      <c r="D75" s="29"/>
      <c r="E75" s="29"/>
      <c r="F75" s="29"/>
      <c r="G75" s="29"/>
      <c r="H75" s="29"/>
      <c r="I75" s="29"/>
      <c r="J75" s="29"/>
      <c r="K75" s="29"/>
    </row>
    <row r="76" spans="1:11" x14ac:dyDescent="0.2">
      <c r="A76" s="58"/>
      <c r="B76" s="58"/>
      <c r="C76" s="58"/>
      <c r="D76" s="29"/>
      <c r="E76" s="29"/>
      <c r="F76" s="29"/>
      <c r="G76" s="29"/>
      <c r="H76" s="29"/>
      <c r="I76" s="29"/>
      <c r="J76" s="29"/>
      <c r="K76" s="29"/>
    </row>
    <row r="77" spans="1:11" x14ac:dyDescent="0.2">
      <c r="A77" s="55"/>
      <c r="B77" s="29"/>
      <c r="C77" s="29"/>
      <c r="D77" s="29"/>
      <c r="E77" s="29"/>
      <c r="F77" s="29"/>
      <c r="G77" s="29"/>
      <c r="H77" s="29"/>
      <c r="I77" s="29"/>
      <c r="J77" s="29"/>
      <c r="K77" s="29"/>
    </row>
    <row r="78" spans="1:11" x14ac:dyDescent="0.2">
      <c r="A78" s="55"/>
      <c r="B78" s="29"/>
      <c r="C78" s="29"/>
      <c r="D78" s="29"/>
      <c r="E78" s="29"/>
      <c r="F78" s="29"/>
      <c r="G78" s="29"/>
      <c r="H78" s="29"/>
      <c r="I78" s="29"/>
      <c r="J78" s="29"/>
      <c r="K78" s="29"/>
    </row>
    <row r="79" spans="1:11" x14ac:dyDescent="0.2">
      <c r="A79" s="56"/>
      <c r="B79" s="29"/>
      <c r="C79" s="29"/>
      <c r="D79" s="29"/>
      <c r="E79" s="29"/>
      <c r="F79" s="29"/>
      <c r="G79" s="29"/>
      <c r="H79" s="29"/>
      <c r="I79" s="29"/>
      <c r="J79" s="29"/>
      <c r="K79" s="29"/>
    </row>
    <row r="80" spans="1:11" x14ac:dyDescent="0.2">
      <c r="A80" s="57"/>
      <c r="B80" s="29"/>
      <c r="C80" s="29"/>
      <c r="D80" s="29"/>
      <c r="E80" s="29"/>
      <c r="F80" s="29"/>
      <c r="G80" s="29"/>
      <c r="H80" s="29"/>
      <c r="I80" s="29"/>
      <c r="J80" s="29"/>
      <c r="K80" s="29"/>
    </row>
    <row r="81" spans="1:11" x14ac:dyDescent="0.2">
      <c r="A81" s="57"/>
      <c r="B81" s="57"/>
    </row>
    <row r="82" spans="1:11" x14ac:dyDescent="0.2">
      <c r="A82" s="58"/>
      <c r="B82" s="58"/>
      <c r="C82" s="29"/>
      <c r="D82" s="29"/>
      <c r="E82" s="29"/>
      <c r="F82" s="29"/>
      <c r="G82" s="29"/>
      <c r="H82" s="29"/>
    </row>
    <row r="83" spans="1:11" x14ac:dyDescent="0.2">
      <c r="A83" s="58"/>
      <c r="B83" s="58"/>
      <c r="C83" s="29"/>
      <c r="D83" s="29"/>
      <c r="E83" s="29"/>
      <c r="F83" s="29"/>
      <c r="G83" s="29"/>
      <c r="H83" s="29"/>
      <c r="I83" s="29"/>
    </row>
    <row r="84" spans="1:11" x14ac:dyDescent="0.2">
      <c r="A84" s="58"/>
      <c r="B84" s="58"/>
      <c r="C84" s="29"/>
      <c r="D84" s="29"/>
      <c r="E84" s="29"/>
      <c r="F84" s="29"/>
      <c r="G84" s="29"/>
      <c r="H84" s="29"/>
      <c r="I84" s="29"/>
      <c r="J84" s="29"/>
      <c r="K84" s="29"/>
    </row>
    <row r="85" spans="1:11" x14ac:dyDescent="0.2">
      <c r="A85" s="92"/>
      <c r="B85" s="29"/>
    </row>
    <row r="86" spans="1:11" x14ac:dyDescent="0.2">
      <c r="A86" s="124"/>
      <c r="B86" s="123"/>
      <c r="C86" s="123"/>
      <c r="D86" s="123"/>
      <c r="E86" s="123"/>
      <c r="F86" s="125"/>
      <c r="G86" s="29"/>
      <c r="H86" s="29"/>
      <c r="I86" s="29"/>
    </row>
    <row r="87" spans="1:11" x14ac:dyDescent="0.2">
      <c r="A87" s="124"/>
      <c r="B87" s="123"/>
      <c r="C87" s="123"/>
      <c r="D87" s="123"/>
      <c r="E87" s="123"/>
      <c r="F87" s="125"/>
      <c r="G87" s="29"/>
      <c r="H87" s="29"/>
      <c r="I87" s="29"/>
    </row>
    <row r="88" spans="1:11" x14ac:dyDescent="0.2">
      <c r="A88" s="124"/>
      <c r="B88" s="123"/>
      <c r="C88" s="123"/>
      <c r="D88" s="123"/>
      <c r="E88" s="123"/>
      <c r="F88" s="125"/>
      <c r="G88" s="29"/>
      <c r="H88" s="29"/>
      <c r="I88" s="29"/>
    </row>
    <row r="89" spans="1:11" x14ac:dyDescent="0.2">
      <c r="A89" s="124"/>
      <c r="B89" s="123"/>
      <c r="C89" s="123"/>
      <c r="D89" s="123"/>
      <c r="E89" s="123"/>
      <c r="F89" s="125"/>
      <c r="G89" s="29"/>
      <c r="H89" s="29"/>
      <c r="I89" s="29"/>
    </row>
    <row r="90" spans="1:11" x14ac:dyDescent="0.2">
      <c r="A90" s="124"/>
      <c r="B90" s="123"/>
      <c r="C90" s="123"/>
      <c r="D90" s="123"/>
      <c r="E90" s="123"/>
      <c r="F90" s="123"/>
      <c r="G90" s="123"/>
      <c r="H90" s="125"/>
      <c r="I90" s="29"/>
    </row>
    <row r="91" spans="1:11" x14ac:dyDescent="0.2">
      <c r="A91" s="124"/>
      <c r="B91" s="123"/>
      <c r="C91" s="123"/>
      <c r="D91" s="123"/>
      <c r="E91" s="123"/>
      <c r="F91" s="125"/>
      <c r="G91" s="29"/>
      <c r="H91" s="29"/>
      <c r="I91" s="29"/>
      <c r="J91" s="29"/>
      <c r="K91" s="29"/>
    </row>
    <row r="92" spans="1:11" x14ac:dyDescent="0.2">
      <c r="A92" s="124"/>
      <c r="B92" s="123"/>
      <c r="C92" s="123"/>
      <c r="D92" s="123"/>
      <c r="E92" s="123"/>
      <c r="F92" s="125"/>
      <c r="G92" s="29"/>
      <c r="H92" s="29"/>
      <c r="I92" s="29"/>
      <c r="J92" s="29"/>
      <c r="K92" s="29"/>
    </row>
    <row r="93" spans="1:11" x14ac:dyDescent="0.2">
      <c r="A93" s="126"/>
      <c r="B93" s="132"/>
    </row>
    <row r="94" spans="1:11" x14ac:dyDescent="0.2">
      <c r="A94" s="127"/>
      <c r="B94" s="133"/>
      <c r="C94" s="29"/>
      <c r="D94" s="29"/>
      <c r="E94" s="29"/>
      <c r="F94" s="29"/>
      <c r="G94" s="29"/>
      <c r="H94" s="29"/>
    </row>
    <row r="95" spans="1:11" x14ac:dyDescent="0.2">
      <c r="A95" s="128"/>
      <c r="B95" s="134"/>
      <c r="C95" s="29"/>
      <c r="D95" s="29"/>
      <c r="E95" s="29"/>
      <c r="F95" s="29"/>
      <c r="G95" s="29"/>
      <c r="H95" s="29"/>
    </row>
    <row r="96" spans="1:11" x14ac:dyDescent="0.2">
      <c r="A96" s="135"/>
      <c r="B96" s="29"/>
      <c r="C96" s="29"/>
      <c r="D96" s="29"/>
      <c r="E96" s="29"/>
      <c r="F96" s="29"/>
      <c r="G96" s="29"/>
      <c r="H96" s="29"/>
      <c r="I96" s="29"/>
      <c r="J96" s="29"/>
      <c r="K96" s="29"/>
    </row>
    <row r="97" spans="1:11" x14ac:dyDescent="0.2">
      <c r="A97" s="129"/>
    </row>
    <row r="98" spans="1:11" x14ac:dyDescent="0.2">
      <c r="A98" s="130"/>
      <c r="B98" s="29"/>
      <c r="C98" s="29"/>
      <c r="D98" s="29"/>
      <c r="E98" s="29"/>
      <c r="F98" s="29"/>
      <c r="G98" s="29"/>
      <c r="H98" s="29"/>
    </row>
    <row r="99" spans="1:11" x14ac:dyDescent="0.2">
      <c r="A99" s="131"/>
    </row>
    <row r="100" spans="1:11" x14ac:dyDescent="0.2">
      <c r="A100" s="136"/>
      <c r="B100" s="29"/>
      <c r="C100" s="29"/>
      <c r="D100" s="29"/>
      <c r="E100" s="29"/>
      <c r="F100" s="29"/>
      <c r="G100" s="29"/>
      <c r="H100" s="29"/>
    </row>
    <row r="101" spans="1:11" x14ac:dyDescent="0.2">
      <c r="A101" s="126"/>
      <c r="B101" s="137"/>
      <c r="C101" s="29"/>
      <c r="D101" s="29"/>
      <c r="E101" s="29"/>
      <c r="F101" s="29"/>
      <c r="G101" s="29"/>
      <c r="H101" s="29"/>
    </row>
    <row r="102" spans="1:11" x14ac:dyDescent="0.2">
      <c r="A102" s="127"/>
      <c r="B102" s="138"/>
      <c r="C102" s="29"/>
      <c r="D102" s="29"/>
      <c r="E102" s="29"/>
      <c r="F102" s="29"/>
      <c r="G102" s="29"/>
      <c r="H102" s="29"/>
    </row>
    <row r="103" spans="1:11" x14ac:dyDescent="0.2">
      <c r="A103" s="127"/>
      <c r="B103" s="138"/>
      <c r="C103" s="29"/>
      <c r="D103" s="29"/>
      <c r="E103" s="29"/>
      <c r="F103" s="29"/>
      <c r="G103" s="29"/>
      <c r="H103" s="29"/>
      <c r="I103" s="29"/>
      <c r="J103" s="29"/>
      <c r="K103" s="29"/>
    </row>
    <row r="104" spans="1:11" x14ac:dyDescent="0.2">
      <c r="A104" s="128"/>
      <c r="B104" s="139"/>
      <c r="C104" s="29"/>
      <c r="D104" s="29"/>
      <c r="E104" s="29"/>
      <c r="F104" s="29"/>
      <c r="G104" s="29"/>
      <c r="H104" s="29"/>
      <c r="I104" s="29"/>
      <c r="J104" s="29"/>
      <c r="K104" s="29"/>
    </row>
    <row r="105" spans="1:11" x14ac:dyDescent="0.2">
      <c r="A105" s="137"/>
      <c r="B105" s="29"/>
      <c r="C105" s="29"/>
      <c r="D105" s="29"/>
      <c r="E105" s="29"/>
      <c r="F105" s="29"/>
      <c r="G105" s="29"/>
      <c r="H105" s="29"/>
      <c r="I105" s="29"/>
      <c r="J105" s="29"/>
      <c r="K105" s="29"/>
    </row>
    <row r="106" spans="1:11" x14ac:dyDescent="0.2">
      <c r="A106" s="138"/>
      <c r="B106" s="29"/>
      <c r="C106" s="29"/>
      <c r="D106" s="29"/>
      <c r="E106" s="29"/>
      <c r="F106" s="29"/>
      <c r="G106" s="29"/>
      <c r="H106" s="29"/>
      <c r="I106" s="29"/>
      <c r="J106" s="29"/>
      <c r="K106" s="29"/>
    </row>
    <row r="107" spans="1:11" x14ac:dyDescent="0.2">
      <c r="A107" s="138"/>
      <c r="B107" s="29"/>
      <c r="C107" s="29"/>
      <c r="D107" s="29"/>
      <c r="E107" s="29"/>
      <c r="F107" s="29"/>
      <c r="G107" s="29"/>
      <c r="H107" s="29"/>
      <c r="I107" s="29"/>
      <c r="J107" s="29"/>
      <c r="K107" s="29"/>
    </row>
    <row r="108" spans="1:11" x14ac:dyDescent="0.2">
      <c r="A108" s="139"/>
      <c r="B108" s="29"/>
      <c r="C108" s="29"/>
      <c r="D108" s="29"/>
      <c r="E108" s="29"/>
      <c r="F108" s="29"/>
      <c r="G108" s="29"/>
      <c r="H108" s="29"/>
      <c r="I108" s="29"/>
      <c r="J108" s="29"/>
      <c r="K108" s="29"/>
    </row>
    <row r="109" spans="1:11" x14ac:dyDescent="0.2">
      <c r="A109" s="136"/>
      <c r="B109" s="29"/>
      <c r="C109" s="29"/>
      <c r="D109" s="29"/>
      <c r="E109" s="29"/>
      <c r="F109" s="29"/>
      <c r="G109" s="29"/>
      <c r="H109" s="29"/>
      <c r="I109" s="29"/>
      <c r="J109" s="29"/>
      <c r="K109" s="29"/>
    </row>
    <row r="110" spans="1:11" x14ac:dyDescent="0.2">
      <c r="A110" s="1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</row>
    <row r="111" spans="1:11" x14ac:dyDescent="0.2">
      <c r="A111" s="130"/>
      <c r="B111" s="29"/>
      <c r="C111" s="29"/>
      <c r="D111" s="29"/>
      <c r="E111" s="29"/>
      <c r="F111" s="29"/>
      <c r="G111" s="29"/>
      <c r="H111" s="29"/>
      <c r="I111" s="29"/>
      <c r="J111" s="29"/>
      <c r="K111" s="29"/>
    </row>
    <row r="112" spans="1:11" x14ac:dyDescent="0.2">
      <c r="A112" s="130"/>
      <c r="B112" s="29"/>
    </row>
    <row r="113" spans="1:11" x14ac:dyDescent="0.2">
      <c r="A113" s="130"/>
      <c r="B113" s="29"/>
      <c r="C113" s="29"/>
      <c r="D113" s="29"/>
      <c r="E113" s="29"/>
      <c r="F113" s="29"/>
      <c r="G113" s="29"/>
      <c r="H113" s="29"/>
      <c r="I113" s="29"/>
    </row>
    <row r="114" spans="1:11" x14ac:dyDescent="0.2">
      <c r="A114" s="131"/>
      <c r="B114" s="29"/>
      <c r="C114" s="29"/>
      <c r="D114" s="29"/>
      <c r="E114" s="29"/>
      <c r="F114" s="29"/>
      <c r="G114" s="29"/>
      <c r="H114" s="29"/>
      <c r="I114" s="29"/>
    </row>
    <row r="115" spans="1:11" x14ac:dyDescent="0.2">
      <c r="A115" s="137"/>
      <c r="B115" s="29"/>
      <c r="C115" s="29"/>
      <c r="D115" s="29"/>
      <c r="E115" s="29"/>
      <c r="F115" s="29"/>
      <c r="G115" s="29"/>
      <c r="H115" s="29"/>
      <c r="I115" s="29"/>
    </row>
    <row r="116" spans="1:11" x14ac:dyDescent="0.2">
      <c r="A116" s="130"/>
      <c r="B116" s="29"/>
      <c r="C116" s="29"/>
      <c r="D116" s="29"/>
      <c r="E116" s="29"/>
      <c r="F116" s="29"/>
      <c r="G116" s="29"/>
      <c r="H116" s="29"/>
      <c r="I116" s="29"/>
      <c r="J116" s="29"/>
      <c r="K116" s="29"/>
    </row>
    <row r="117" spans="1:11" x14ac:dyDescent="0.2">
      <c r="A117" s="131"/>
      <c r="B117" s="29"/>
      <c r="C117" s="29"/>
      <c r="D117" s="29"/>
      <c r="E117" s="29"/>
      <c r="F117" s="29"/>
      <c r="G117" s="29"/>
      <c r="H117" s="29"/>
      <c r="I117" s="29"/>
    </row>
    <row r="118" spans="1:11" x14ac:dyDescent="0.2">
      <c r="A118" s="137"/>
      <c r="B118" s="29"/>
      <c r="C118" s="29"/>
      <c r="D118" s="29"/>
      <c r="E118" s="29"/>
      <c r="F118" s="29"/>
      <c r="G118" s="29"/>
      <c r="H118" s="29"/>
      <c r="I118" s="29"/>
    </row>
    <row r="119" spans="1:11" x14ac:dyDescent="0.2">
      <c r="A119" s="130"/>
      <c r="B119" s="29"/>
      <c r="C119" s="29"/>
      <c r="D119" s="29"/>
      <c r="E119" s="29"/>
      <c r="F119" s="29"/>
      <c r="G119" s="29"/>
      <c r="H119" s="29"/>
      <c r="I119" s="29"/>
    </row>
    <row r="120" spans="1:11" x14ac:dyDescent="0.2">
      <c r="A120" s="130"/>
      <c r="B120" s="29"/>
      <c r="C120" s="29"/>
      <c r="D120" s="29"/>
      <c r="E120" s="29"/>
      <c r="F120" s="29"/>
      <c r="G120" s="29"/>
      <c r="H120" s="29"/>
      <c r="I120" s="29"/>
    </row>
    <row r="121" spans="1:11" x14ac:dyDescent="0.2">
      <c r="A121" s="131"/>
      <c r="B121" s="29"/>
      <c r="C121" s="29"/>
      <c r="D121" s="29"/>
      <c r="E121" s="29"/>
      <c r="F121" s="29"/>
      <c r="G121" s="29"/>
      <c r="H121" s="29"/>
      <c r="I121" s="29"/>
      <c r="J121" s="29"/>
      <c r="K121" s="29"/>
    </row>
    <row r="122" spans="1:11" x14ac:dyDescent="0.2">
      <c r="A122" s="135"/>
      <c r="B122" s="29"/>
      <c r="C122" s="29"/>
      <c r="D122" s="29"/>
      <c r="E122" s="29"/>
      <c r="F122" s="29"/>
      <c r="G122" s="29"/>
      <c r="H122" s="29"/>
      <c r="I122" s="29"/>
      <c r="J122" s="29"/>
      <c r="K122" s="29"/>
    </row>
    <row r="123" spans="1:11" x14ac:dyDescent="0.2">
      <c r="A123" s="140"/>
    </row>
    <row r="124" spans="1:11" x14ac:dyDescent="0.2">
      <c r="A124" s="141"/>
      <c r="B124" s="29"/>
      <c r="C124" s="29"/>
      <c r="D124" s="29"/>
      <c r="E124" s="29"/>
      <c r="F124" s="29"/>
      <c r="G124" s="29"/>
      <c r="H124" s="29"/>
    </row>
    <row r="125" spans="1:11" x14ac:dyDescent="0.2">
      <c r="A125" s="142"/>
    </row>
    <row r="126" spans="1:11" x14ac:dyDescent="0.2">
      <c r="A126" s="143"/>
      <c r="B126" s="29"/>
      <c r="C126" s="29"/>
      <c r="D126" s="29"/>
      <c r="E126" s="29"/>
      <c r="F126" s="29"/>
      <c r="G126" s="29"/>
      <c r="H126" s="29"/>
    </row>
    <row r="127" spans="1:11" x14ac:dyDescent="0.2">
      <c r="A127" s="145"/>
      <c r="B127" s="144"/>
      <c r="C127" s="146"/>
      <c r="D127" s="29"/>
      <c r="E127" s="29"/>
      <c r="F127" s="29"/>
      <c r="G127" s="29"/>
      <c r="H127" s="29"/>
    </row>
    <row r="128" spans="1:11" x14ac:dyDescent="0.2">
      <c r="A128" s="145"/>
      <c r="B128" s="144"/>
      <c r="C128" s="144"/>
      <c r="D128" s="146"/>
    </row>
    <row r="129" spans="1:9" x14ac:dyDescent="0.2">
      <c r="A129" s="148"/>
      <c r="B129" s="147"/>
      <c r="C129" s="147"/>
      <c r="D129" s="149"/>
      <c r="E129" s="29"/>
      <c r="F129" s="29"/>
      <c r="G129" s="29"/>
      <c r="H129" s="29"/>
      <c r="I129" s="29"/>
    </row>
    <row r="130" spans="1:9" x14ac:dyDescent="0.2">
      <c r="A130" s="148"/>
      <c r="B130" s="147"/>
      <c r="C130" s="147"/>
      <c r="D130" s="149"/>
      <c r="E130" s="29"/>
      <c r="F130" s="29"/>
      <c r="G130" s="29"/>
      <c r="H130" s="29"/>
    </row>
    <row r="131" spans="1:9" x14ac:dyDescent="0.2">
      <c r="A131" s="148"/>
      <c r="B131" s="147"/>
      <c r="C131" s="147"/>
      <c r="D131" s="149"/>
      <c r="E131" s="29"/>
      <c r="F131" s="29"/>
      <c r="G131" s="29"/>
      <c r="H131" s="29"/>
    </row>
    <row r="132" spans="1:9" x14ac:dyDescent="0.2">
      <c r="A132" s="141"/>
    </row>
    <row r="133" spans="1:9" x14ac:dyDescent="0.2">
      <c r="A133" s="142"/>
    </row>
    <row r="134" spans="1:9" x14ac:dyDescent="0.2">
      <c r="A134" s="143"/>
    </row>
    <row r="135" spans="1:9" x14ac:dyDescent="0.2">
      <c r="A135" s="145"/>
      <c r="B135" s="146"/>
    </row>
    <row r="136" spans="1:9" x14ac:dyDescent="0.2">
      <c r="A136" s="145"/>
      <c r="B136" s="144"/>
      <c r="C136" s="146"/>
    </row>
    <row r="137" spans="1:9" x14ac:dyDescent="0.2">
      <c r="A137" s="148"/>
      <c r="B137" s="147"/>
      <c r="C137" s="149"/>
    </row>
    <row r="138" spans="1:9" x14ac:dyDescent="0.2">
      <c r="A138" s="148"/>
      <c r="B138" s="147"/>
      <c r="C138" s="149"/>
    </row>
    <row r="139" spans="1:9" x14ac:dyDescent="0.2">
      <c r="A139" s="148"/>
      <c r="B139" s="147"/>
      <c r="C139" s="149"/>
    </row>
    <row r="140" spans="1:9" x14ac:dyDescent="0.2">
      <c r="A140" s="141"/>
    </row>
    <row r="141" spans="1:9" x14ac:dyDescent="0.2">
      <c r="A141" s="142"/>
    </row>
    <row r="142" spans="1:9" x14ac:dyDescent="0.2">
      <c r="A142" s="143"/>
    </row>
    <row r="143" spans="1:9" x14ac:dyDescent="0.2">
      <c r="A143" s="150"/>
    </row>
    <row r="144" spans="1:9" x14ac:dyDescent="0.2">
      <c r="A144" s="145"/>
      <c r="B144" s="146"/>
    </row>
    <row r="145" spans="1:17" x14ac:dyDescent="0.2">
      <c r="A145" s="148"/>
      <c r="B145" s="149"/>
    </row>
    <row r="146" spans="1:17" x14ac:dyDescent="0.2">
      <c r="A146" s="148"/>
      <c r="B146" s="149"/>
    </row>
    <row r="147" spans="1:17" x14ac:dyDescent="0.2">
      <c r="A147" s="148"/>
      <c r="B147" s="149"/>
    </row>
    <row r="148" spans="1:17" x14ac:dyDescent="0.2">
      <c r="A148" s="116"/>
      <c r="B148" s="116"/>
      <c r="C148" s="116"/>
      <c r="D148" s="116"/>
      <c r="E148" s="117"/>
      <c r="F148" s="118"/>
      <c r="G148" s="118"/>
      <c r="H148" s="119"/>
      <c r="I148" s="119"/>
      <c r="J148" s="119"/>
      <c r="K148" s="119"/>
      <c r="L148" s="119"/>
      <c r="M148" s="119"/>
      <c r="N148" s="119"/>
      <c r="O148" s="119"/>
      <c r="P148" s="119"/>
      <c r="Q148" s="119"/>
    </row>
    <row r="149" spans="1:17" x14ac:dyDescent="0.2">
      <c r="D149" s="116"/>
      <c r="E149" s="117"/>
      <c r="F149" s="118"/>
      <c r="G149" s="118"/>
      <c r="H149" s="119"/>
      <c r="I149" s="119"/>
      <c r="J149" s="119"/>
      <c r="K149" s="119"/>
      <c r="L149" s="119"/>
      <c r="M149" s="119"/>
      <c r="N149" s="29"/>
      <c r="O149" s="29"/>
      <c r="P149" s="29"/>
    </row>
    <row r="150" spans="1:17" x14ac:dyDescent="0.2">
      <c r="D150" s="31"/>
      <c r="E150" s="120"/>
      <c r="F150" s="121"/>
      <c r="G150" s="121"/>
      <c r="H150" s="122"/>
      <c r="I150" s="122"/>
      <c r="J150" s="122"/>
      <c r="K150" s="122"/>
      <c r="L150" s="122"/>
      <c r="M150" s="122"/>
      <c r="N150" s="29"/>
      <c r="O150" s="29"/>
      <c r="P150" s="29"/>
    </row>
    <row r="151" spans="1:17" x14ac:dyDescent="0.2">
      <c r="D151" s="31"/>
      <c r="E151" s="120"/>
      <c r="F151" s="121"/>
      <c r="G151" s="121"/>
      <c r="H151" s="122"/>
      <c r="I151" s="122"/>
      <c r="J151" s="122"/>
      <c r="K151" s="122"/>
      <c r="L151" s="122"/>
      <c r="M151" s="122"/>
      <c r="N151" s="29"/>
      <c r="O151" s="29"/>
      <c r="P151" s="29"/>
    </row>
    <row r="152" spans="1:17" x14ac:dyDescent="0.2">
      <c r="D152" s="116"/>
      <c r="E152" s="117"/>
      <c r="F152" s="118"/>
      <c r="G152" s="118"/>
      <c r="H152" s="119"/>
      <c r="I152" s="119"/>
      <c r="J152" s="119"/>
      <c r="K152" s="119"/>
      <c r="L152" s="119"/>
      <c r="M152" s="119"/>
      <c r="N152" s="29"/>
      <c r="O152" s="29"/>
      <c r="P152" s="29"/>
    </row>
    <row r="153" spans="1:17" x14ac:dyDescent="0.2">
      <c r="D153" s="31"/>
      <c r="E153" s="120"/>
      <c r="F153" s="121"/>
      <c r="G153" s="121"/>
      <c r="H153" s="122"/>
      <c r="I153" s="122"/>
      <c r="J153" s="122"/>
      <c r="K153" s="122"/>
      <c r="L153" s="122"/>
      <c r="M153" s="122"/>
      <c r="N153" s="29"/>
      <c r="O153" s="29"/>
      <c r="P153" s="29"/>
    </row>
    <row r="154" spans="1:17" x14ac:dyDescent="0.2">
      <c r="H154" s="24"/>
      <c r="I154" s="24"/>
      <c r="J154" s="24"/>
      <c r="K154" s="24"/>
      <c r="L154" s="24"/>
      <c r="M154" s="24"/>
    </row>
    <row r="155" spans="1:17" x14ac:dyDescent="0.2">
      <c r="E155" s="24"/>
      <c r="F155" s="24"/>
      <c r="G155" s="24"/>
      <c r="H155" s="24"/>
      <c r="I155" s="24"/>
      <c r="J155" s="24"/>
      <c r="K155" s="24"/>
      <c r="L155" s="24"/>
    </row>
    <row r="156" spans="1:17" x14ac:dyDescent="0.2">
      <c r="E156" s="24"/>
      <c r="F156" s="24"/>
      <c r="G156" s="24"/>
      <c r="H156" s="24"/>
      <c r="I156" s="24"/>
      <c r="J156" s="24"/>
      <c r="K156" s="24"/>
      <c r="L156" s="24"/>
    </row>
    <row r="159" spans="1:17" x14ac:dyDescent="0.2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</row>
    <row r="160" spans="1:17" x14ac:dyDescent="0.2">
      <c r="A160" s="104"/>
      <c r="B160" s="101"/>
      <c r="C160" s="101"/>
      <c r="D160" s="101"/>
      <c r="E160" s="101"/>
      <c r="F160" s="101"/>
      <c r="G160" s="101"/>
      <c r="H160" s="101"/>
      <c r="I160" s="101"/>
      <c r="J160" s="101"/>
      <c r="K160" s="101"/>
    </row>
    <row r="161" spans="1:15" x14ac:dyDescent="0.2">
      <c r="A161" s="104"/>
      <c r="B161" s="101"/>
      <c r="C161" s="101"/>
      <c r="D161" s="101"/>
      <c r="E161" s="101"/>
      <c r="F161" s="101"/>
      <c r="G161" s="101"/>
      <c r="H161" s="101"/>
      <c r="I161" s="101"/>
      <c r="J161" s="101"/>
      <c r="K161" s="101"/>
    </row>
    <row r="162" spans="1:15" x14ac:dyDescent="0.2">
      <c r="A162" s="104"/>
      <c r="B162" s="101"/>
      <c r="C162" s="101"/>
      <c r="D162" s="101"/>
      <c r="E162" s="101"/>
      <c r="F162" s="101"/>
      <c r="G162" s="101"/>
      <c r="H162" s="101"/>
      <c r="I162" s="101"/>
      <c r="J162" s="101"/>
      <c r="K162" s="101"/>
    </row>
    <row r="163" spans="1:15" x14ac:dyDescent="0.2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</row>
    <row r="164" spans="1:15" x14ac:dyDescent="0.2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</row>
    <row r="165" spans="1:15" x14ac:dyDescent="0.2">
      <c r="A165" s="104"/>
      <c r="B165" s="101"/>
      <c r="C165" s="101"/>
      <c r="D165" s="101"/>
      <c r="E165" s="101"/>
      <c r="F165" s="101"/>
      <c r="G165" s="101"/>
      <c r="H165" s="101"/>
      <c r="I165" s="101"/>
      <c r="J165" s="101"/>
      <c r="K165" s="101"/>
    </row>
    <row r="166" spans="1:15" x14ac:dyDescent="0.2">
      <c r="A166" s="104"/>
      <c r="B166" s="101"/>
      <c r="C166" s="101"/>
      <c r="D166" s="101"/>
      <c r="E166" s="101"/>
      <c r="F166" s="101"/>
      <c r="G166" s="101"/>
      <c r="H166" s="101"/>
      <c r="I166" s="101"/>
      <c r="J166" s="101"/>
      <c r="K166" s="101"/>
    </row>
    <row r="167" spans="1:15" x14ac:dyDescent="0.2">
      <c r="A167" s="104"/>
      <c r="B167" s="101"/>
      <c r="C167" s="101"/>
      <c r="D167" s="101"/>
      <c r="E167" s="101"/>
      <c r="F167" s="101"/>
      <c r="G167" s="101"/>
      <c r="H167" s="101"/>
      <c r="I167" s="101"/>
      <c r="J167" s="101"/>
      <c r="K167" s="101"/>
    </row>
    <row r="168" spans="1:15" x14ac:dyDescent="0.2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</row>
    <row r="169" spans="1:15" x14ac:dyDescent="0.2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</row>
    <row r="170" spans="1:15" x14ac:dyDescent="0.2">
      <c r="A170" s="104"/>
      <c r="B170" s="101"/>
      <c r="C170" s="101"/>
      <c r="D170" s="101"/>
      <c r="E170" s="101"/>
      <c r="F170" s="101"/>
      <c r="G170" s="101"/>
      <c r="H170" s="101"/>
      <c r="I170" s="101"/>
      <c r="J170" s="101"/>
      <c r="K170" s="101"/>
    </row>
    <row r="171" spans="1:15" x14ac:dyDescent="0.2">
      <c r="A171" s="104"/>
      <c r="B171" s="101"/>
      <c r="C171" s="101"/>
      <c r="D171" s="101"/>
      <c r="E171" s="101"/>
      <c r="F171" s="101"/>
      <c r="G171" s="101"/>
      <c r="H171" s="101"/>
      <c r="I171" s="101"/>
      <c r="J171" s="101"/>
      <c r="K171" s="101"/>
    </row>
    <row r="172" spans="1:15" x14ac:dyDescent="0.2">
      <c r="A172" s="104"/>
      <c r="B172" s="101"/>
      <c r="C172" s="101"/>
      <c r="D172" s="101"/>
      <c r="E172" s="101"/>
      <c r="F172" s="101"/>
      <c r="G172" s="101"/>
      <c r="H172" s="101"/>
      <c r="I172" s="101"/>
      <c r="J172" s="101"/>
      <c r="K172" s="101"/>
    </row>
    <row r="173" spans="1:15" x14ac:dyDescent="0.2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</row>
    <row r="174" spans="1:15" x14ac:dyDescent="0.2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</row>
    <row r="175" spans="1:15" x14ac:dyDescent="0.2">
      <c r="A175" s="104"/>
      <c r="B175" s="101"/>
      <c r="C175" s="101"/>
      <c r="D175" s="101"/>
      <c r="E175" s="101"/>
      <c r="F175" s="101"/>
      <c r="G175" s="101"/>
      <c r="H175" s="101"/>
      <c r="I175" s="101"/>
      <c r="J175" s="101"/>
      <c r="K175" s="101"/>
    </row>
    <row r="176" spans="1:15" x14ac:dyDescent="0.2">
      <c r="A176" s="104"/>
      <c r="B176" s="101"/>
      <c r="C176" s="101"/>
      <c r="D176" s="101"/>
      <c r="E176" s="101"/>
      <c r="F176" s="101"/>
      <c r="G176" s="101"/>
      <c r="H176" s="101"/>
      <c r="I176" s="101"/>
      <c r="J176" s="101"/>
      <c r="K176" s="101"/>
    </row>
    <row r="177" spans="1:15" x14ac:dyDescent="0.2">
      <c r="A177" s="104"/>
      <c r="B177" s="101"/>
      <c r="C177" s="101"/>
      <c r="D177" s="101"/>
      <c r="E177" s="101"/>
      <c r="F177" s="101"/>
      <c r="G177" s="101"/>
      <c r="H177" s="101"/>
      <c r="I177" s="101"/>
      <c r="J177" s="101"/>
      <c r="K177" s="101"/>
    </row>
    <row r="178" spans="1:15" x14ac:dyDescent="0.2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</row>
    <row r="179" spans="1:15" x14ac:dyDescent="0.2">
      <c r="A179" s="38"/>
      <c r="B179" s="38"/>
      <c r="C179" s="38"/>
      <c r="D179" s="38"/>
      <c r="E179" s="38"/>
      <c r="F179" s="38"/>
      <c r="G179" s="38"/>
      <c r="H179" s="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LBO</vt:lpstr>
      <vt:lpstr>Support &gt;&gt;</vt:lpstr>
      <vt:lpstr>Acquisition Assumptions</vt:lpstr>
      <vt:lpstr>Financials</vt:lpstr>
      <vt:lpstr>Revenue Buildup</vt:lpstr>
      <vt:lpstr>Headcount &amp; Compensation</vt:lpstr>
      <vt:lpstr>Operating Expenses</vt:lpstr>
      <vt:lpstr>Working Capital</vt:lpstr>
      <vt:lpstr>'Acquisition Assumptions'!Print_Area</vt:lpstr>
      <vt:lpstr>Financials!Print_Area</vt:lpstr>
      <vt:lpstr>'Headcount &amp; Compensation'!Print_Area</vt:lpstr>
      <vt:lpstr>LBO!Print_Area</vt:lpstr>
      <vt:lpstr>'Operating Expenses'!Print_Area</vt:lpstr>
      <vt:lpstr>'Revenue Buildup'!Print_Area</vt:lpstr>
      <vt:lpstr>'Working Capital'!Print_Area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Thorley, Benjamin</dc:creator>
  <cp:lastModifiedBy>Jeremi Orlowski</cp:lastModifiedBy>
  <dcterms:created xsi:type="dcterms:W3CDTF">2015-06-05T18:17:20Z</dcterms:created>
  <dcterms:modified xsi:type="dcterms:W3CDTF">2026-02-16T14:38:57Z</dcterms:modified>
</cp:coreProperties>
</file>