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ek\Downloads\"/>
    </mc:Choice>
  </mc:AlternateContent>
  <xr:revisionPtr revIDLastSave="0" documentId="13_ncr:1_{DADA1053-235C-4FF9-8904-DF2E869EE1F9}" xr6:coauthVersionLast="36" xr6:coauthVersionMax="47" xr10:uidLastSave="{00000000-0000-0000-0000-000000000000}"/>
  <bookViews>
    <workbookView xWindow="0" yWindow="0" windowWidth="28800" windowHeight="12225" activeTab="8" xr2:uid="{734EE03F-CF5D-421E-A7E8-2035275ADE5E}"/>
  </bookViews>
  <sheets>
    <sheet name="Control" sheetId="7" r:id="rId1"/>
    <sheet name="quick_calc" sheetId="18" r:id="rId2"/>
    <sheet name="Dimensioning" sheetId="4" r:id="rId3"/>
    <sheet name="Coordinates" sheetId="13" r:id="rId4"/>
    <sheet name="SectionsWT" sheetId="15" r:id="rId5"/>
    <sheet name="ConstantSections" sheetId="9" r:id="rId6"/>
    <sheet name="Contraction" sheetId="2" r:id="rId7"/>
    <sheet name="Diffusers" sheetId="11" r:id="rId8"/>
    <sheet name="TOTAL_PLoss" sheetId="16" r:id="rId9"/>
    <sheet name="PressureLoss" sheetId="17" r:id="rId10"/>
  </sheets>
  <externalReferences>
    <externalReference r:id="rId11"/>
    <externalReference r:id="rId12"/>
  </externalReferences>
  <definedNames>
    <definedName name="solver_eng" localSheetId="6" hidden="1">1</definedName>
    <definedName name="solver_neg" localSheetId="6" hidden="1">1</definedName>
    <definedName name="solver_num" localSheetId="6" hidden="1">0</definedName>
    <definedName name="solver_opt" localSheetId="6" hidden="1">Contraction!$B$19</definedName>
    <definedName name="solver_typ" localSheetId="6" hidden="1">1</definedName>
    <definedName name="solver_val" localSheetId="6" hidden="1">0</definedName>
    <definedName name="solver_ver" localSheetId="6" hidden="1">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4" l="1"/>
  <c r="H10" i="7"/>
  <c r="H11" i="7"/>
  <c r="J11" i="7"/>
  <c r="C3" i="4"/>
  <c r="C15" i="4"/>
  <c r="D3" i="4"/>
  <c r="C4" i="4"/>
  <c r="D4" i="4"/>
  <c r="D5" i="4"/>
  <c r="E15" i="4"/>
  <c r="D15" i="4"/>
  <c r="C19" i="4"/>
  <c r="C16" i="7"/>
  <c r="E19" i="4"/>
  <c r="I24" i="9"/>
  <c r="I2" i="9"/>
  <c r="I1" i="9"/>
  <c r="B3" i="9"/>
  <c r="I5" i="9"/>
  <c r="I15" i="9"/>
  <c r="I25" i="9"/>
  <c r="C16" i="4"/>
  <c r="D16" i="4"/>
  <c r="C20" i="4"/>
  <c r="I21" i="9"/>
  <c r="I22" i="9"/>
  <c r="B23" i="9"/>
  <c r="I26" i="9"/>
  <c r="I23" i="9"/>
  <c r="I27" i="9"/>
  <c r="I29" i="9"/>
  <c r="B24" i="9"/>
  <c r="B11" i="16"/>
  <c r="D11" i="16"/>
  <c r="B3" i="16"/>
  <c r="E11" i="16"/>
  <c r="F11" i="16"/>
  <c r="G11" i="16"/>
  <c r="B12" i="16"/>
  <c r="D12" i="16"/>
  <c r="E12" i="16"/>
  <c r="F12" i="16"/>
  <c r="G12" i="16"/>
  <c r="I3" i="9"/>
  <c r="I7" i="9"/>
  <c r="I9" i="9"/>
  <c r="I4" i="9"/>
  <c r="B4" i="9"/>
  <c r="B8" i="16"/>
  <c r="D8" i="16"/>
  <c r="E8" i="16"/>
  <c r="F8" i="16"/>
  <c r="G8" i="16"/>
  <c r="K2" i="11"/>
  <c r="K1" i="11"/>
  <c r="B3" i="11"/>
  <c r="K5" i="11"/>
  <c r="K7" i="11"/>
  <c r="K8" i="11"/>
  <c r="K9" i="11"/>
  <c r="K12" i="11"/>
  <c r="B18" i="11"/>
  <c r="K3" i="11"/>
  <c r="K6" i="11"/>
  <c r="K14" i="11"/>
  <c r="B9" i="11"/>
  <c r="B10" i="11"/>
  <c r="B12" i="11"/>
  <c r="K4" i="11"/>
  <c r="B4" i="11"/>
  <c r="B5" i="11"/>
  <c r="K15" i="11"/>
  <c r="B7" i="11"/>
  <c r="B8" i="11"/>
  <c r="B14" i="11"/>
  <c r="B19" i="11"/>
  <c r="B9" i="16"/>
  <c r="B13" i="11"/>
  <c r="B16" i="11"/>
  <c r="B17" i="11"/>
  <c r="C9" i="16"/>
  <c r="D9" i="16"/>
  <c r="E9" i="16"/>
  <c r="F9" i="16"/>
  <c r="G9" i="16"/>
  <c r="C7" i="4"/>
  <c r="C11" i="4"/>
  <c r="I12" i="9"/>
  <c r="C8" i="4"/>
  <c r="C12" i="4"/>
  <c r="I11" i="9"/>
  <c r="B13" i="9"/>
  <c r="I16" i="9"/>
  <c r="I13" i="9"/>
  <c r="I17" i="9"/>
  <c r="I19" i="9"/>
  <c r="C9" i="4"/>
  <c r="E11" i="4"/>
  <c r="I14" i="9"/>
  <c r="B14" i="9"/>
  <c r="B10" i="16"/>
  <c r="D10" i="16"/>
  <c r="E10" i="16"/>
  <c r="F10" i="16"/>
  <c r="G10" i="16"/>
  <c r="E13" i="16"/>
  <c r="F13" i="16"/>
  <c r="G13" i="16"/>
  <c r="G14" i="16"/>
  <c r="H7" i="7"/>
  <c r="H12" i="7"/>
  <c r="H13" i="7"/>
  <c r="H15" i="7"/>
  <c r="H16" i="7"/>
  <c r="H18" i="7"/>
  <c r="H19" i="7"/>
  <c r="H20" i="7"/>
  <c r="N12" i="16"/>
  <c r="N11" i="16"/>
  <c r="N8" i="16"/>
  <c r="N9" i="16"/>
  <c r="N10" i="16"/>
  <c r="N13" i="16"/>
  <c r="N14" i="16"/>
  <c r="AG9" i="16"/>
  <c r="AG10" i="16"/>
  <c r="AG11" i="16"/>
  <c r="AG12" i="16"/>
  <c r="AG13" i="16"/>
  <c r="AG8" i="16"/>
  <c r="I6" i="9"/>
  <c r="K11" i="11"/>
  <c r="H8" i="7"/>
  <c r="I8" i="9"/>
  <c r="I18" i="9"/>
  <c r="I28" i="9"/>
  <c r="I8" i="7"/>
  <c r="H14" i="7"/>
  <c r="B2" i="16"/>
  <c r="L8" i="16"/>
  <c r="N18" i="16"/>
  <c r="R8" i="16"/>
  <c r="R9" i="16"/>
  <c r="R10" i="16"/>
  <c r="R11" i="16"/>
  <c r="R13" i="16"/>
  <c r="R12" i="16"/>
  <c r="R14" i="16"/>
  <c r="R18" i="16"/>
  <c r="C5" i="4"/>
  <c r="E7" i="4"/>
  <c r="E24" i="4"/>
  <c r="H2" i="7"/>
  <c r="E25" i="4"/>
  <c r="H3" i="7"/>
  <c r="H4" i="7"/>
  <c r="H13" i="16"/>
  <c r="H8" i="16"/>
  <c r="H9" i="16"/>
  <c r="H10" i="16"/>
  <c r="H11" i="16"/>
  <c r="H12" i="16"/>
  <c r="H14" i="16"/>
  <c r="I13" i="16"/>
  <c r="I8" i="16"/>
  <c r="I9" i="16"/>
  <c r="I10" i="16"/>
  <c r="I11" i="16"/>
  <c r="I12" i="16"/>
  <c r="I14" i="16"/>
  <c r="J13" i="16"/>
  <c r="J8" i="16"/>
  <c r="J9" i="16"/>
  <c r="J10" i="16"/>
  <c r="J11" i="16"/>
  <c r="J12" i="16"/>
  <c r="J14" i="16"/>
  <c r="K13" i="16"/>
  <c r="K8" i="16"/>
  <c r="K9" i="16"/>
  <c r="K10" i="16"/>
  <c r="K11" i="16"/>
  <c r="K12" i="16"/>
  <c r="K14" i="16"/>
  <c r="L13" i="16"/>
  <c r="L9" i="16"/>
  <c r="L10" i="16"/>
  <c r="L11" i="16"/>
  <c r="L12" i="16"/>
  <c r="L14" i="16"/>
  <c r="M13" i="16"/>
  <c r="M8" i="16"/>
  <c r="M9" i="16"/>
  <c r="M10" i="16"/>
  <c r="M11" i="16"/>
  <c r="M12" i="16"/>
  <c r="M14" i="16"/>
  <c r="O13" i="16"/>
  <c r="O8" i="16"/>
  <c r="O9" i="16"/>
  <c r="O10" i="16"/>
  <c r="O11" i="16"/>
  <c r="O12" i="16"/>
  <c r="O14" i="16"/>
  <c r="P13" i="16"/>
  <c r="P8" i="16"/>
  <c r="P9" i="16"/>
  <c r="P10" i="16"/>
  <c r="P11" i="16"/>
  <c r="P12" i="16"/>
  <c r="P14" i="16"/>
  <c r="Q13" i="16"/>
  <c r="Q8" i="16"/>
  <c r="Q9" i="16"/>
  <c r="Q10" i="16"/>
  <c r="Q11" i="16"/>
  <c r="Q12" i="16"/>
  <c r="Q14" i="16"/>
  <c r="S13" i="16"/>
  <c r="S8" i="16"/>
  <c r="S9" i="16"/>
  <c r="S10" i="16"/>
  <c r="S11" i="16"/>
  <c r="S12" i="16"/>
  <c r="S14" i="16"/>
  <c r="T13" i="16"/>
  <c r="T8" i="16"/>
  <c r="T9" i="16"/>
  <c r="T10" i="16"/>
  <c r="T11" i="16"/>
  <c r="T12" i="16"/>
  <c r="T14" i="16"/>
  <c r="U13" i="16"/>
  <c r="U8" i="16"/>
  <c r="U9" i="16"/>
  <c r="U10" i="16"/>
  <c r="U11" i="16"/>
  <c r="U12" i="16"/>
  <c r="U14" i="16"/>
  <c r="V13" i="16"/>
  <c r="V8" i="16"/>
  <c r="V9" i="16"/>
  <c r="V10" i="16"/>
  <c r="V11" i="16"/>
  <c r="V12" i="16"/>
  <c r="V14" i="16"/>
  <c r="W13" i="16"/>
  <c r="W8" i="16"/>
  <c r="W9" i="16"/>
  <c r="W10" i="16"/>
  <c r="W11" i="16"/>
  <c r="W12" i="16"/>
  <c r="W14" i="16"/>
  <c r="X13" i="16"/>
  <c r="X8" i="16"/>
  <c r="X9" i="16"/>
  <c r="X10" i="16"/>
  <c r="X11" i="16"/>
  <c r="X12" i="16"/>
  <c r="X14" i="16"/>
  <c r="Y13" i="16"/>
  <c r="Y8" i="16"/>
  <c r="Y9" i="16"/>
  <c r="Y10" i="16"/>
  <c r="Y11" i="16"/>
  <c r="Y12" i="16"/>
  <c r="Y14" i="16"/>
  <c r="Z13" i="16"/>
  <c r="Z8" i="16"/>
  <c r="Z9" i="16"/>
  <c r="Z10" i="16"/>
  <c r="Z11" i="16"/>
  <c r="Z12" i="16"/>
  <c r="Z14" i="16"/>
  <c r="AA13" i="16"/>
  <c r="AA8" i="16"/>
  <c r="AA9" i="16"/>
  <c r="AA10" i="16"/>
  <c r="AA11" i="16"/>
  <c r="AA12" i="16"/>
  <c r="AA14" i="16"/>
  <c r="AB13" i="16"/>
  <c r="AB8" i="16"/>
  <c r="AB9" i="16"/>
  <c r="AB10" i="16"/>
  <c r="AB11" i="16"/>
  <c r="AB12" i="16"/>
  <c r="AB14" i="16"/>
  <c r="AC13" i="16"/>
  <c r="AC8" i="16"/>
  <c r="AC9" i="16"/>
  <c r="AC10" i="16"/>
  <c r="AC11" i="16"/>
  <c r="AC12" i="16"/>
  <c r="AC14" i="16"/>
  <c r="AD13" i="16"/>
  <c r="AD8" i="16"/>
  <c r="AD9" i="16"/>
  <c r="AD10" i="16"/>
  <c r="AD11" i="16"/>
  <c r="AD12" i="16"/>
  <c r="AD14" i="16"/>
  <c r="AE13" i="16"/>
  <c r="AE8" i="16"/>
  <c r="AE9" i="16"/>
  <c r="AE10" i="16"/>
  <c r="AE11" i="16"/>
  <c r="AE12" i="16"/>
  <c r="AE14" i="16"/>
  <c r="AF13" i="16"/>
  <c r="AF8" i="16"/>
  <c r="AF9" i="16"/>
  <c r="AF10" i="16"/>
  <c r="AF11" i="16"/>
  <c r="AF12" i="16"/>
  <c r="AF14" i="16"/>
  <c r="I7" i="7"/>
  <c r="J7" i="7"/>
  <c r="X18" i="16"/>
  <c r="Y18" i="16"/>
  <c r="Z18" i="16"/>
  <c r="AA18" i="16"/>
  <c r="AB18" i="16"/>
  <c r="AC18" i="16"/>
  <c r="AD18" i="16"/>
  <c r="AE18" i="16"/>
  <c r="AF18" i="16"/>
  <c r="O18" i="16"/>
  <c r="P18" i="16"/>
  <c r="Q18" i="16"/>
  <c r="S18" i="16"/>
  <c r="T18" i="16"/>
  <c r="U18" i="16"/>
  <c r="V18" i="16"/>
  <c r="W18" i="16"/>
  <c r="I18" i="16"/>
  <c r="J18" i="16"/>
  <c r="K18" i="16"/>
  <c r="L18" i="16"/>
  <c r="M18" i="16"/>
  <c r="H18" i="16"/>
  <c r="H19" i="16"/>
  <c r="B3" i="13"/>
  <c r="B8" i="13"/>
  <c r="G8" i="13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J6" i="16"/>
  <c r="K6" i="16"/>
  <c r="L6" i="16"/>
  <c r="M6" i="16"/>
  <c r="N6" i="16"/>
  <c r="O6" i="16"/>
  <c r="I6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H6" i="16"/>
  <c r="C3" i="13"/>
  <c r="C4" i="13"/>
  <c r="C5" i="13"/>
  <c r="C22" i="13"/>
  <c r="C23" i="13"/>
  <c r="C29" i="13"/>
  <c r="B22" i="13"/>
  <c r="B23" i="13"/>
  <c r="B29" i="13"/>
  <c r="C21" i="13"/>
  <c r="C20" i="13"/>
  <c r="C28" i="13"/>
  <c r="B21" i="13"/>
  <c r="B20" i="13"/>
  <c r="B28" i="13"/>
  <c r="B30" i="13"/>
  <c r="B27" i="13"/>
  <c r="B5" i="13"/>
  <c r="C8" i="13"/>
  <c r="D7" i="4"/>
  <c r="C9" i="13"/>
  <c r="C14" i="13"/>
  <c r="C15" i="13"/>
  <c r="C16" i="13"/>
  <c r="B9" i="13"/>
  <c r="B14" i="13"/>
  <c r="B15" i="13"/>
  <c r="C10" i="13"/>
  <c r="G12" i="13"/>
  <c r="D20" i="2"/>
  <c r="C20" i="2"/>
  <c r="D19" i="2"/>
  <c r="C19" i="2"/>
  <c r="E24" i="2"/>
  <c r="D24" i="2"/>
  <c r="B24" i="2"/>
  <c r="C24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S27" i="2"/>
  <c r="X12" i="13"/>
  <c r="R27" i="2"/>
  <c r="W12" i="13"/>
  <c r="Q27" i="2"/>
  <c r="V12" i="13"/>
  <c r="P27" i="2"/>
  <c r="U12" i="13"/>
  <c r="O27" i="2"/>
  <c r="T12" i="13"/>
  <c r="N27" i="2"/>
  <c r="S12" i="13"/>
  <c r="M27" i="2"/>
  <c r="R12" i="13"/>
  <c r="L27" i="2"/>
  <c r="Q12" i="13"/>
  <c r="E23" i="2"/>
  <c r="D23" i="2"/>
  <c r="C23" i="2"/>
  <c r="B23" i="2"/>
  <c r="K27" i="2"/>
  <c r="P12" i="13"/>
  <c r="J27" i="2"/>
  <c r="O12" i="13"/>
  <c r="I27" i="2"/>
  <c r="N12" i="13"/>
  <c r="H27" i="2"/>
  <c r="M12" i="13"/>
  <c r="G27" i="2"/>
  <c r="L12" i="13"/>
  <c r="F27" i="2"/>
  <c r="K12" i="13"/>
  <c r="E27" i="2"/>
  <c r="J12" i="13"/>
  <c r="D27" i="2"/>
  <c r="I12" i="13"/>
  <c r="C27" i="2"/>
  <c r="H12" i="13"/>
  <c r="T26" i="2"/>
  <c r="T27" i="2"/>
  <c r="Y12" i="13"/>
  <c r="B10" i="13"/>
  <c r="G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Y8" i="13"/>
  <c r="G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H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C27" i="13"/>
  <c r="C31" i="13"/>
  <c r="B16" i="13"/>
  <c r="B31" i="13"/>
  <c r="C30" i="13"/>
  <c r="A27" i="13"/>
  <c r="C24" i="13"/>
  <c r="B24" i="13"/>
  <c r="A20" i="13"/>
  <c r="C18" i="13"/>
  <c r="B18" i="13"/>
  <c r="C17" i="13"/>
  <c r="B17" i="13"/>
  <c r="A14" i="13"/>
  <c r="C12" i="13"/>
  <c r="B12" i="13"/>
  <c r="C11" i="13"/>
  <c r="B4" i="13"/>
  <c r="B11" i="13"/>
  <c r="A8" i="13"/>
  <c r="C6" i="13"/>
  <c r="B6" i="13"/>
  <c r="A2" i="13"/>
  <c r="B20" i="11"/>
  <c r="B11" i="11"/>
  <c r="K10" i="11"/>
  <c r="B6" i="11"/>
  <c r="J10" i="2"/>
  <c r="J7" i="2"/>
  <c r="J6" i="2"/>
  <c r="J4" i="2"/>
  <c r="D8" i="4"/>
  <c r="J3" i="2"/>
  <c r="J2" i="2"/>
  <c r="J1" i="2"/>
  <c r="D11" i="7"/>
  <c r="E11" i="7"/>
  <c r="D7" i="7"/>
  <c r="E7" i="7"/>
  <c r="E6" i="7"/>
  <c r="D6" i="7"/>
  <c r="D20" i="4"/>
  <c r="D19" i="4"/>
  <c r="D21" i="4"/>
  <c r="C21" i="4"/>
  <c r="D17" i="4"/>
  <c r="C17" i="4"/>
  <c r="D11" i="4"/>
  <c r="D12" i="4"/>
  <c r="D13" i="4"/>
  <c r="C13" i="4"/>
  <c r="D9" i="4"/>
  <c r="D32" i="2"/>
  <c r="C32" i="2"/>
  <c r="D31" i="2"/>
  <c r="C31" i="2"/>
  <c r="E36" i="2"/>
  <c r="D36" i="2"/>
  <c r="B36" i="2"/>
  <c r="C36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T39" i="2"/>
  <c r="S39" i="2"/>
  <c r="R39" i="2"/>
  <c r="Q39" i="2"/>
  <c r="P39" i="2"/>
  <c r="O39" i="2"/>
  <c r="N39" i="2"/>
  <c r="M39" i="2"/>
  <c r="L39" i="2"/>
  <c r="E35" i="2"/>
  <c r="D35" i="2"/>
  <c r="C35" i="2"/>
  <c r="B35" i="2"/>
  <c r="K39" i="2"/>
  <c r="J39" i="2"/>
  <c r="I39" i="2"/>
  <c r="H39" i="2"/>
  <c r="G39" i="2"/>
  <c r="F39" i="2"/>
  <c r="E39" i="2"/>
  <c r="D39" i="2"/>
  <c r="C39" i="2"/>
  <c r="B39" i="2"/>
  <c r="B27" i="2"/>
  <c r="B3" i="2"/>
  <c r="J8" i="2"/>
  <c r="J5" i="2"/>
  <c r="J9" i="2"/>
  <c r="J11" i="2"/>
  <c r="B14" i="2"/>
  <c r="J13" i="2"/>
  <c r="B8" i="2"/>
  <c r="B9" i="2"/>
  <c r="B11" i="2"/>
  <c r="B2" i="2"/>
  <c r="B4" i="2"/>
  <c r="J14" i="2"/>
  <c r="B6" i="2"/>
  <c r="B7" i="2"/>
  <c r="B13" i="2"/>
  <c r="B15" i="2"/>
  <c r="B12" i="2"/>
  <c r="B10" i="2"/>
  <c r="B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VA3</author>
  </authors>
  <commentList>
    <comment ref="B15" authorId="0" shapeId="0" xr:uid="{CFA893BA-A6D9-42C8-9819-0809A1F90014}">
      <text>
        <r>
          <rPr>
            <b/>
            <sz val="9"/>
            <color indexed="81"/>
            <rFont val="Tahoma"/>
            <family val="2"/>
          </rPr>
          <t>for piramidal diffusers</t>
        </r>
      </text>
    </comment>
  </commentList>
</comments>
</file>

<file path=xl/sharedStrings.xml><?xml version="1.0" encoding="utf-8"?>
<sst xmlns="http://schemas.openxmlformats.org/spreadsheetml/2006/main" count="271" uniqueCount="166">
  <si>
    <r>
      <t>density, ρ [kg/m</t>
    </r>
    <r>
      <rPr>
        <b/>
        <vertAlign val="superscript"/>
        <sz val="11"/>
        <color indexed="8"/>
        <rFont val="Calibri"/>
        <family val="2"/>
      </rPr>
      <t>3]</t>
    </r>
  </si>
  <si>
    <r>
      <rPr>
        <sz val="12"/>
        <color indexed="8"/>
        <rFont val="Calibri"/>
        <family val="2"/>
        <charset val="128"/>
      </rPr>
      <t>kinematic viscosity</t>
    </r>
    <r>
      <rPr>
        <sz val="11"/>
        <color indexed="8"/>
        <rFont val="Symbol"/>
        <family val="1"/>
        <charset val="2"/>
      </rPr>
      <t>, n</t>
    </r>
    <r>
      <rPr>
        <sz val="11"/>
        <color indexed="8"/>
        <rFont val="Calibri"/>
        <family val="2"/>
      </rPr>
      <t xml:space="preserve"> [ m/s</t>
    </r>
    <r>
      <rPr>
        <vertAlign val="superscript"/>
        <sz val="11"/>
        <color indexed="8"/>
        <rFont val="Calibri"/>
        <family val="2"/>
      </rPr>
      <t>2]</t>
    </r>
  </si>
  <si>
    <t>Contraction ratio</t>
  </si>
  <si>
    <t>Contraction semi angle</t>
  </si>
  <si>
    <t>CONTRACTION</t>
  </si>
  <si>
    <t>height entrance, a0 [m]</t>
  </si>
  <si>
    <r>
      <t>A</t>
    </r>
    <r>
      <rPr>
        <vertAlign val="subscript"/>
        <sz val="11"/>
        <color indexed="8"/>
        <rFont val="Calibri"/>
        <family val="2"/>
      </rPr>
      <t>o</t>
    </r>
    <r>
      <rPr>
        <sz val="11"/>
        <color theme="1"/>
        <rFont val="Calibri"/>
        <family val="2"/>
        <scheme val="minor"/>
      </rPr>
      <t>=(</t>
    </r>
    <r>
      <rPr>
        <i/>
        <sz val="11"/>
        <color indexed="8"/>
        <rFont val="Calibri"/>
        <family val="2"/>
      </rPr>
      <t>a</t>
    </r>
    <r>
      <rPr>
        <vertAlign val="subscript"/>
        <sz val="11"/>
        <color indexed="8"/>
        <rFont val="Calibri"/>
        <family val="2"/>
      </rPr>
      <t>o*</t>
    </r>
    <r>
      <rPr>
        <i/>
        <sz val="11"/>
        <color indexed="8"/>
        <rFont val="Calibri"/>
        <family val="2"/>
      </rPr>
      <t>b</t>
    </r>
    <r>
      <rPr>
        <vertAlign val="subscript"/>
        <sz val="11"/>
        <color indexed="8"/>
        <rFont val="Calibri"/>
        <family val="2"/>
      </rPr>
      <t>o</t>
    </r>
    <r>
      <rPr>
        <sz val="11"/>
        <color theme="1"/>
        <rFont val="Calibri"/>
        <family val="2"/>
        <scheme val="minor"/>
      </rPr>
      <t>) [m</t>
    </r>
    <r>
      <rPr>
        <vertAlign val="superscript"/>
        <sz val="11"/>
        <color indexed="8"/>
        <rFont val="Calibri"/>
        <family val="2"/>
      </rPr>
      <t>2]</t>
    </r>
  </si>
  <si>
    <t>wide entrance, b0 [m]</t>
  </si>
  <si>
    <r>
      <t>A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=(</t>
    </r>
    <r>
      <rPr>
        <i/>
        <sz val="11"/>
        <color indexed="8"/>
        <rFont val="Calibri"/>
        <family val="2"/>
      </rPr>
      <t>a</t>
    </r>
    <r>
      <rPr>
        <vertAlign val="subscript"/>
        <sz val="11"/>
        <color indexed="8"/>
        <rFont val="Calibri"/>
        <family val="2"/>
      </rPr>
      <t>1*</t>
    </r>
    <r>
      <rPr>
        <i/>
        <sz val="11"/>
        <color indexed="8"/>
        <rFont val="Calibri"/>
        <family val="2"/>
      </rPr>
      <t>b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) [m</t>
    </r>
    <r>
      <rPr>
        <vertAlign val="superscript"/>
        <sz val="11"/>
        <color indexed="8"/>
        <rFont val="Calibri"/>
        <family val="2"/>
      </rPr>
      <t>2]</t>
    </r>
  </si>
  <si>
    <t>height exit, a1 [m]</t>
  </si>
  <si>
    <r>
      <t>n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=Ao/</t>
    </r>
    <r>
      <rPr>
        <vertAlign val="subscript"/>
        <sz val="11"/>
        <color indexed="8"/>
        <rFont val="Calibri"/>
        <family val="2"/>
      </rPr>
      <t>A1</t>
    </r>
  </si>
  <si>
    <t>wide exit, b1 [m]</t>
  </si>
  <si>
    <t>L [m]</t>
  </si>
  <si>
    <r>
      <t>D</t>
    </r>
    <r>
      <rPr>
        <vertAlign val="subscript"/>
        <sz val="11"/>
        <color indexed="8"/>
        <rFont val="Calibri"/>
        <family val="2"/>
      </rPr>
      <t>H1</t>
    </r>
    <r>
      <rPr>
        <sz val="11"/>
        <color theme="1"/>
        <rFont val="Calibri"/>
        <family val="2"/>
        <scheme val="minor"/>
      </rPr>
      <t>=4A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/</t>
    </r>
    <r>
      <rPr>
        <sz val="11"/>
        <color indexed="8"/>
        <rFont val="Calibri"/>
        <family val="2"/>
      </rPr>
      <t>П</t>
    </r>
    <r>
      <rPr>
        <vertAlign val="subscript"/>
        <sz val="11"/>
        <color indexed="8"/>
        <rFont val="Calibri"/>
        <family val="2"/>
      </rPr>
      <t>1</t>
    </r>
  </si>
  <si>
    <t>β/2 [deg]</t>
  </si>
  <si>
    <t>Length, L [m]</t>
  </si>
  <si>
    <t>β/2 [rad]</t>
  </si>
  <si>
    <r>
      <t>Q [m</t>
    </r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/s]</t>
    </r>
  </si>
  <si>
    <r>
      <rPr>
        <sz val="11"/>
        <color indexed="8"/>
        <rFont val="Helvetica"/>
        <family val="2"/>
      </rPr>
      <t>α</t>
    </r>
    <r>
      <rPr>
        <sz val="11"/>
        <color indexed="8"/>
        <rFont val="Calibri"/>
        <family val="2"/>
      </rPr>
      <t>/2 [deg]</t>
    </r>
  </si>
  <si>
    <r>
      <rPr>
        <i/>
        <sz val="11"/>
        <color indexed="8"/>
        <rFont val="Calibri"/>
        <family val="2"/>
      </rPr>
      <t>V</t>
    </r>
    <r>
      <rPr>
        <sz val="11"/>
        <color theme="1"/>
        <rFont val="Calibri"/>
        <family val="2"/>
        <scheme val="minor"/>
      </rPr>
      <t>= Q/A1</t>
    </r>
    <r>
      <rPr>
        <vertAlign val="subscript"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[m/s]</t>
    </r>
  </si>
  <si>
    <r>
      <rPr>
        <sz val="11"/>
        <color indexed="8"/>
        <rFont val="Helvetica"/>
        <family val="2"/>
      </rPr>
      <t>α</t>
    </r>
    <r>
      <rPr>
        <sz val="11"/>
        <color indexed="8"/>
        <rFont val="Calibri"/>
        <family val="2"/>
      </rPr>
      <t>/2 [rad]</t>
    </r>
  </si>
  <si>
    <r>
      <rPr>
        <b/>
        <sz val="11"/>
        <color indexed="8"/>
        <rFont val="Calibri"/>
        <family val="2"/>
      </rPr>
      <t xml:space="preserve">Re </t>
    </r>
    <r>
      <rPr>
        <sz val="11"/>
        <color theme="1"/>
        <rFont val="Calibri"/>
        <family val="2"/>
        <scheme val="minor"/>
      </rPr>
      <t xml:space="preserve">= </t>
    </r>
    <r>
      <rPr>
        <i/>
        <sz val="11"/>
        <color indexed="8"/>
        <rFont val="Calibri"/>
        <family val="2"/>
      </rPr>
      <t>V</t>
    </r>
    <r>
      <rPr>
        <sz val="11"/>
        <color theme="1"/>
        <rFont val="Calibri"/>
        <family val="2"/>
        <scheme val="minor"/>
      </rPr>
      <t>D</t>
    </r>
    <r>
      <rPr>
        <vertAlign val="subscript"/>
        <sz val="11"/>
        <color indexed="8"/>
        <rFont val="Calibri"/>
        <family val="2"/>
      </rPr>
      <t>Ho</t>
    </r>
    <r>
      <rPr>
        <sz val="11"/>
        <color theme="1"/>
        <rFont val="Calibri"/>
        <family val="2"/>
        <scheme val="minor"/>
      </rPr>
      <t>/</t>
    </r>
    <r>
      <rPr>
        <i/>
        <sz val="11"/>
        <color indexed="8"/>
        <rFont val="Symbol"/>
        <family val="1"/>
        <charset val="2"/>
      </rPr>
      <t>n</t>
    </r>
  </si>
  <si>
    <r>
      <t>tg(</t>
    </r>
    <r>
      <rPr>
        <sz val="11"/>
        <color indexed="8"/>
        <rFont val="Calibri"/>
        <family val="2"/>
      </rPr>
      <t>α/2)</t>
    </r>
  </si>
  <si>
    <r>
      <t>n [</t>
    </r>
    <r>
      <rPr>
        <sz val="11"/>
        <color indexed="8"/>
        <rFont val="Times New Roman"/>
        <family val="1"/>
      </rPr>
      <t>m/s</t>
    </r>
    <r>
      <rPr>
        <vertAlign val="superscript"/>
        <sz val="11"/>
        <color indexed="8"/>
        <rFont val="Times New Roman"/>
        <family val="1"/>
      </rPr>
      <t>2]</t>
    </r>
  </si>
  <si>
    <r>
      <t>sen(</t>
    </r>
    <r>
      <rPr>
        <sz val="11"/>
        <color indexed="8"/>
        <rFont val="Calibri"/>
        <family val="2"/>
      </rPr>
      <t>α/2)</t>
    </r>
  </si>
  <si>
    <r>
      <t xml:space="preserve">λ= 1/(1,8 lg </t>
    </r>
    <r>
      <rPr>
        <b/>
        <sz val="11"/>
        <color indexed="8"/>
        <rFont val="Calibri"/>
        <family val="2"/>
      </rPr>
      <t>Re</t>
    </r>
    <r>
      <rPr>
        <sz val="11"/>
        <color indexed="8"/>
        <rFont val="Calibri"/>
        <family val="2"/>
      </rPr>
      <t>-1,64)</t>
    </r>
    <r>
      <rPr>
        <vertAlign val="superscript"/>
        <sz val="11"/>
        <color indexed="8"/>
        <rFont val="Calibri"/>
        <family val="2"/>
      </rPr>
      <t>2</t>
    </r>
  </si>
  <si>
    <r>
      <t>tg(</t>
    </r>
    <r>
      <rPr>
        <sz val="11"/>
        <color indexed="8"/>
        <rFont val="Calibri"/>
        <family val="2"/>
      </rPr>
      <t>β/2)</t>
    </r>
  </si>
  <si>
    <r>
      <t>sen(</t>
    </r>
    <r>
      <rPr>
        <sz val="11"/>
        <color indexed="8"/>
        <rFont val="Calibri"/>
        <family val="2"/>
      </rPr>
      <t>β/2)</t>
    </r>
  </si>
  <si>
    <r>
      <t>a</t>
    </r>
    <r>
      <rPr>
        <sz val="11"/>
        <color theme="1"/>
        <rFont val="Calibri"/>
        <family val="2"/>
        <scheme val="minor"/>
      </rPr>
      <t>= 2 arctg[(</t>
    </r>
    <r>
      <rPr>
        <i/>
        <sz val="11"/>
        <color indexed="8"/>
        <rFont val="Calibri"/>
        <family val="2"/>
      </rPr>
      <t>a0</t>
    </r>
    <r>
      <rPr>
        <sz val="11"/>
        <color theme="1"/>
        <rFont val="Calibri"/>
        <family val="2"/>
        <scheme val="minor"/>
      </rPr>
      <t>-</t>
    </r>
    <r>
      <rPr>
        <i/>
        <sz val="11"/>
        <color indexed="8"/>
        <rFont val="Calibri"/>
        <family val="2"/>
      </rPr>
      <t>a1</t>
    </r>
    <r>
      <rPr>
        <sz val="11"/>
        <color theme="1"/>
        <rFont val="Calibri"/>
        <family val="2"/>
        <scheme val="minor"/>
      </rPr>
      <t>)/2L]</t>
    </r>
  </si>
  <si>
    <t>λ</t>
  </si>
  <si>
    <r>
      <t>b</t>
    </r>
    <r>
      <rPr>
        <sz val="11"/>
        <color theme="1"/>
        <rFont val="Calibri"/>
        <family val="2"/>
        <scheme val="minor"/>
      </rPr>
      <t>= 2 arctg[(</t>
    </r>
    <r>
      <rPr>
        <i/>
        <sz val="11"/>
        <color indexed="8"/>
        <rFont val="Calibri"/>
        <family val="2"/>
      </rPr>
      <t>b0</t>
    </r>
    <r>
      <rPr>
        <sz val="11"/>
        <color theme="1"/>
        <rFont val="Calibri"/>
        <family val="2"/>
        <scheme val="minor"/>
      </rPr>
      <t>-</t>
    </r>
    <r>
      <rPr>
        <i/>
        <sz val="11"/>
        <color indexed="8"/>
        <rFont val="Calibri"/>
        <family val="2"/>
      </rPr>
      <t>b1</t>
    </r>
    <r>
      <rPr>
        <sz val="11"/>
        <color theme="1"/>
        <rFont val="Calibri"/>
        <family val="2"/>
        <scheme val="minor"/>
      </rPr>
      <t>)/2L]</t>
    </r>
  </si>
  <si>
    <r>
      <t>ζ</t>
    </r>
    <r>
      <rPr>
        <i/>
        <vertAlign val="subscript"/>
        <sz val="11"/>
        <color indexed="8"/>
        <rFont val="Calibri"/>
        <family val="2"/>
      </rPr>
      <t>f</t>
    </r>
    <r>
      <rPr>
        <sz val="11"/>
        <color indexed="8"/>
        <rFont val="Calibri"/>
        <family val="2"/>
      </rPr>
      <t>={λ/[16sen(α/2)]}(1-1/n</t>
    </r>
    <r>
      <rPr>
        <vertAlign val="subscript"/>
        <sz val="11"/>
        <color indexed="8"/>
        <rFont val="Calibri"/>
        <family val="2"/>
      </rPr>
      <t>1</t>
    </r>
    <r>
      <rPr>
        <vertAlign val="super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)+{λ/[16sen(β/2)]}(1-1/n</t>
    </r>
    <r>
      <rPr>
        <vertAlign val="subscript"/>
        <sz val="11"/>
        <color indexed="8"/>
        <rFont val="Calibri"/>
        <family val="2"/>
      </rPr>
      <t>1</t>
    </r>
    <r>
      <rPr>
        <vertAlign val="superscript"/>
        <sz val="11"/>
        <color indexed="8"/>
        <rFont val="Calibri"/>
        <family val="2"/>
      </rPr>
      <t>2</t>
    </r>
    <r>
      <rPr>
        <sz val="11"/>
        <color indexed="8"/>
        <rFont val="Calibri"/>
        <family val="2"/>
      </rPr>
      <t>)</t>
    </r>
  </si>
  <si>
    <t>GEOMETRIC SHAPE</t>
  </si>
  <si>
    <t>Horizontal plane</t>
  </si>
  <si>
    <t>entrance</t>
  </si>
  <si>
    <t>medium point</t>
  </si>
  <si>
    <t>exit</t>
  </si>
  <si>
    <t>X [m]</t>
  </si>
  <si>
    <t>Y [m]</t>
  </si>
  <si>
    <t>Y=A+BX+CX^2+DX^3</t>
  </si>
  <si>
    <t>A</t>
  </si>
  <si>
    <t>B</t>
  </si>
  <si>
    <t>C</t>
  </si>
  <si>
    <t>D</t>
  </si>
  <si>
    <t>spline entrance-medium point</t>
  </si>
  <si>
    <t>spline medium point - exit</t>
  </si>
  <si>
    <t>Vertical plane</t>
  </si>
  <si>
    <t>Z [m]</t>
  </si>
  <si>
    <t>Z=A+BX+CX^2+DX^3</t>
  </si>
  <si>
    <t>Entrance</t>
  </si>
  <si>
    <t>Exit</t>
  </si>
  <si>
    <t>Length</t>
  </si>
  <si>
    <t>Test Section</t>
  </si>
  <si>
    <t>Wide</t>
  </si>
  <si>
    <t>Height</t>
  </si>
  <si>
    <t>Hydraulic diameter</t>
  </si>
  <si>
    <t>Contraction</t>
  </si>
  <si>
    <t>Settling Chamber</t>
  </si>
  <si>
    <t>Diffuser 1</t>
  </si>
  <si>
    <t>Power Plant</t>
  </si>
  <si>
    <t>INPUTS</t>
  </si>
  <si>
    <t>Test section wide</t>
  </si>
  <si>
    <t>Test section height</t>
  </si>
  <si>
    <t>Test section length</t>
  </si>
  <si>
    <t>Settling chamber non dimensional length</t>
  </si>
  <si>
    <t>Diffuser semi angle</t>
  </si>
  <si>
    <t>OUTPUTS</t>
  </si>
  <si>
    <t>Diffuser 1 nondimensional length</t>
  </si>
  <si>
    <t>Total wind tunnel wide/height</t>
  </si>
  <si>
    <t>Total pressure loss coefficient, ζ</t>
  </si>
  <si>
    <t>Total Pressure Loss at testing speed [Pa]</t>
  </si>
  <si>
    <t>Dimension of the fan matrix (Width)</t>
  </si>
  <si>
    <t>Dimension of the fan matrix (Height)</t>
  </si>
  <si>
    <t>Unitary fan diameter</t>
  </si>
  <si>
    <t>Power plant non dimensional length</t>
  </si>
  <si>
    <t>Testing speed [m/s]</t>
  </si>
  <si>
    <t>TEST SECTION</t>
  </si>
  <si>
    <r>
      <rPr>
        <i/>
        <sz val="11"/>
        <color indexed="8"/>
        <rFont val="Calibri"/>
        <family val="2"/>
      </rPr>
      <t>height</t>
    </r>
    <r>
      <rPr>
        <sz val="11"/>
        <color indexed="8"/>
        <rFont val="Calibri"/>
        <family val="2"/>
      </rPr>
      <t xml:space="preserve"> [m]</t>
    </r>
  </si>
  <si>
    <r>
      <rPr>
        <i/>
        <sz val="11"/>
        <color indexed="8"/>
        <rFont val="Calibri"/>
        <family val="2"/>
      </rPr>
      <t>wide</t>
    </r>
    <r>
      <rPr>
        <sz val="11"/>
        <color indexed="8"/>
        <rFont val="Calibri"/>
        <family val="2"/>
      </rPr>
      <t xml:space="preserve"> [m]</t>
    </r>
  </si>
  <si>
    <r>
      <t>A [m</t>
    </r>
    <r>
      <rPr>
        <vertAlign val="superscript"/>
        <sz val="11"/>
        <color indexed="8"/>
        <rFont val="Calibri"/>
        <family val="2"/>
      </rPr>
      <t>2]</t>
    </r>
  </si>
  <si>
    <r>
      <t>D</t>
    </r>
    <r>
      <rPr>
        <vertAlign val="subscript"/>
        <sz val="11"/>
        <color indexed="8"/>
        <rFont val="Calibri"/>
        <family val="2"/>
      </rPr>
      <t>H</t>
    </r>
    <r>
      <rPr>
        <sz val="11"/>
        <color indexed="8"/>
        <rFont val="Calibri"/>
        <family val="2"/>
      </rPr>
      <t>=4A/</t>
    </r>
    <r>
      <rPr>
        <sz val="11"/>
        <color indexed="8"/>
        <rFont val="Calibri"/>
        <family val="2"/>
      </rPr>
      <t>П</t>
    </r>
  </si>
  <si>
    <r>
      <t>ζ</t>
    </r>
    <r>
      <rPr>
        <i/>
        <vertAlign val="subscript"/>
        <sz val="11"/>
        <color indexed="8"/>
        <rFont val="Calibri"/>
        <family val="2"/>
      </rPr>
      <t>f</t>
    </r>
    <r>
      <rPr>
        <sz val="11"/>
        <color indexed="8"/>
        <rFont val="Calibri"/>
        <family val="2"/>
      </rPr>
      <t>=λL/D</t>
    </r>
    <r>
      <rPr>
        <vertAlign val="subscript"/>
        <sz val="11"/>
        <color indexed="8"/>
        <rFont val="Calibri"/>
        <family val="2"/>
      </rPr>
      <t>H</t>
    </r>
  </si>
  <si>
    <t>Length [m]</t>
  </si>
  <si>
    <r>
      <t>Q=</t>
    </r>
    <r>
      <rPr>
        <i/>
        <sz val="11"/>
        <color indexed="8"/>
        <rFont val="Calibri"/>
        <family val="2"/>
      </rPr>
      <t>V</t>
    </r>
    <r>
      <rPr>
        <sz val="11"/>
        <color indexed="8"/>
        <rFont val="Calibri"/>
        <family val="2"/>
      </rPr>
      <t>A [m</t>
    </r>
    <r>
      <rPr>
        <vertAlign val="superscript"/>
        <sz val="11"/>
        <color indexed="8"/>
        <rFont val="Calibri"/>
        <family val="2"/>
      </rPr>
      <t>3</t>
    </r>
    <r>
      <rPr>
        <sz val="11"/>
        <color indexed="8"/>
        <rFont val="Calibri"/>
        <family val="2"/>
      </rPr>
      <t>/s]</t>
    </r>
  </si>
  <si>
    <r>
      <rPr>
        <i/>
        <sz val="11"/>
        <color indexed="8"/>
        <rFont val="Calibri"/>
        <family val="2"/>
      </rPr>
      <t>V</t>
    </r>
    <r>
      <rPr>
        <sz val="11"/>
        <color indexed="8"/>
        <rFont val="Calibri"/>
        <family val="2"/>
      </rPr>
      <t xml:space="preserve"> [m/s]</t>
    </r>
  </si>
  <si>
    <r>
      <rPr>
        <b/>
        <sz val="11"/>
        <color indexed="8"/>
        <rFont val="Calibri"/>
        <family val="2"/>
      </rPr>
      <t>Re</t>
    </r>
    <r>
      <rPr>
        <sz val="11"/>
        <color indexed="8"/>
        <rFont val="Calibri"/>
        <family val="2"/>
      </rPr>
      <t>=</t>
    </r>
    <r>
      <rPr>
        <i/>
        <sz val="11"/>
        <color indexed="8"/>
        <rFont val="Calibri"/>
        <family val="2"/>
      </rPr>
      <t>V</t>
    </r>
    <r>
      <rPr>
        <sz val="11"/>
        <color indexed="8"/>
        <rFont val="Calibri"/>
        <family val="2"/>
      </rPr>
      <t>D</t>
    </r>
    <r>
      <rPr>
        <vertAlign val="subscript"/>
        <sz val="11"/>
        <color indexed="8"/>
        <rFont val="Calibri"/>
        <family val="2"/>
      </rPr>
      <t>H</t>
    </r>
    <r>
      <rPr>
        <sz val="11"/>
        <color indexed="8"/>
        <rFont val="Calibri"/>
        <family val="2"/>
      </rPr>
      <t>/</t>
    </r>
    <r>
      <rPr>
        <i/>
        <sz val="11"/>
        <color indexed="8"/>
        <rFont val="Calibri"/>
        <family val="2"/>
      </rPr>
      <t>n</t>
    </r>
  </si>
  <si>
    <r>
      <rPr>
        <sz val="11"/>
        <color indexed="8"/>
        <rFont val="Symbol"/>
        <family val="1"/>
        <charset val="2"/>
      </rPr>
      <t>n</t>
    </r>
    <r>
      <rPr>
        <sz val="11"/>
        <color indexed="8"/>
        <rFont val="Calibri"/>
        <family val="2"/>
      </rPr>
      <t xml:space="preserve"> [ m/s</t>
    </r>
    <r>
      <rPr>
        <vertAlign val="superscript"/>
        <sz val="11"/>
        <color indexed="8"/>
        <rFont val="Calibri"/>
        <family val="2"/>
      </rPr>
      <t>2]</t>
    </r>
  </si>
  <si>
    <t>SETTLING CHAMBER</t>
  </si>
  <si>
    <t>height, a [m]</t>
  </si>
  <si>
    <t>wide, b [m]</t>
  </si>
  <si>
    <r>
      <t>A=(</t>
    </r>
    <r>
      <rPr>
        <i/>
        <sz val="11"/>
        <color indexed="8"/>
        <rFont val="Calibri"/>
        <family val="2"/>
      </rPr>
      <t>a</t>
    </r>
    <r>
      <rPr>
        <vertAlign val="subscript"/>
        <sz val="11"/>
        <color indexed="8"/>
        <rFont val="Calibri"/>
        <family val="2"/>
      </rPr>
      <t>*</t>
    </r>
    <r>
      <rPr>
        <i/>
        <sz val="11"/>
        <color indexed="8"/>
        <rFont val="Calibri"/>
        <family val="2"/>
      </rPr>
      <t>b</t>
    </r>
    <r>
      <rPr>
        <sz val="11"/>
        <color theme="1"/>
        <rFont val="Calibri"/>
        <family val="2"/>
        <scheme val="minor"/>
      </rPr>
      <t>) [m</t>
    </r>
    <r>
      <rPr>
        <vertAlign val="superscript"/>
        <sz val="11"/>
        <color indexed="8"/>
        <rFont val="Calibri"/>
        <family val="2"/>
      </rPr>
      <t>2]</t>
    </r>
  </si>
  <si>
    <r>
      <t>D</t>
    </r>
    <r>
      <rPr>
        <vertAlign val="subscript"/>
        <sz val="11"/>
        <color indexed="8"/>
        <rFont val="Calibri"/>
        <family val="2"/>
      </rPr>
      <t>H</t>
    </r>
    <r>
      <rPr>
        <sz val="11"/>
        <color theme="1"/>
        <rFont val="Calibri"/>
        <family val="2"/>
        <scheme val="minor"/>
      </rPr>
      <t>=4A</t>
    </r>
    <r>
      <rPr>
        <sz val="11"/>
        <color theme="1"/>
        <rFont val="Calibri"/>
        <family val="2"/>
        <scheme val="minor"/>
      </rPr>
      <t>/</t>
    </r>
    <r>
      <rPr>
        <sz val="11"/>
        <color indexed="8"/>
        <rFont val="Calibri"/>
        <family val="2"/>
      </rPr>
      <t>П</t>
    </r>
  </si>
  <si>
    <r>
      <rPr>
        <i/>
        <sz val="11"/>
        <color indexed="8"/>
        <rFont val="Calibri"/>
        <family val="2"/>
      </rPr>
      <t>V</t>
    </r>
    <r>
      <rPr>
        <sz val="11"/>
        <color theme="1"/>
        <rFont val="Calibri"/>
        <family val="2"/>
        <scheme val="minor"/>
      </rPr>
      <t>= Q/A</t>
    </r>
    <r>
      <rPr>
        <vertAlign val="subscript"/>
        <sz val="11"/>
        <color indexed="8"/>
        <rFont val="Calibri"/>
        <family val="2"/>
      </rPr>
      <t xml:space="preserve">o </t>
    </r>
    <r>
      <rPr>
        <sz val="11"/>
        <color theme="1"/>
        <rFont val="Calibri"/>
        <family val="2"/>
        <scheme val="minor"/>
      </rPr>
      <t xml:space="preserve"> [m/s]</t>
    </r>
  </si>
  <si>
    <r>
      <rPr>
        <b/>
        <sz val="11"/>
        <color indexed="8"/>
        <rFont val="Calibri"/>
        <family val="2"/>
      </rPr>
      <t xml:space="preserve">Re </t>
    </r>
    <r>
      <rPr>
        <sz val="11"/>
        <color theme="1"/>
        <rFont val="Calibri"/>
        <family val="2"/>
        <scheme val="minor"/>
      </rPr>
      <t xml:space="preserve">= </t>
    </r>
    <r>
      <rPr>
        <i/>
        <sz val="11"/>
        <color indexed="8"/>
        <rFont val="Calibri"/>
        <family val="2"/>
      </rPr>
      <t>V</t>
    </r>
    <r>
      <rPr>
        <sz val="11"/>
        <color theme="1"/>
        <rFont val="Calibri"/>
        <family val="2"/>
        <scheme val="minor"/>
      </rPr>
      <t>D</t>
    </r>
    <r>
      <rPr>
        <vertAlign val="subscript"/>
        <sz val="11"/>
        <color indexed="8"/>
        <rFont val="Calibri"/>
        <family val="2"/>
      </rPr>
      <t xml:space="preserve">H </t>
    </r>
    <r>
      <rPr>
        <sz val="11"/>
        <color theme="1"/>
        <rFont val="Calibri"/>
        <family val="2"/>
        <scheme val="minor"/>
      </rPr>
      <t>/</t>
    </r>
    <r>
      <rPr>
        <i/>
        <sz val="11"/>
        <color indexed="8"/>
        <rFont val="Symbol"/>
        <family val="1"/>
        <charset val="2"/>
      </rPr>
      <t>n</t>
    </r>
  </si>
  <si>
    <t>POWER PLANT</t>
  </si>
  <si>
    <t>DIFFUSER 1</t>
  </si>
  <si>
    <r>
      <t>n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=A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/A</t>
    </r>
    <r>
      <rPr>
        <vertAlign val="subscript"/>
        <sz val="11"/>
        <color indexed="8"/>
        <rFont val="Calibri"/>
        <family val="2"/>
      </rPr>
      <t>o</t>
    </r>
    <r>
      <rPr>
        <sz val="11"/>
        <color theme="1"/>
        <rFont val="Calibri"/>
        <family val="2"/>
        <scheme val="minor"/>
      </rPr>
      <t/>
    </r>
  </si>
  <si>
    <r>
      <t>D</t>
    </r>
    <r>
      <rPr>
        <vertAlign val="subscript"/>
        <sz val="11"/>
        <color indexed="8"/>
        <rFont val="Calibri"/>
        <family val="2"/>
      </rPr>
      <t>Ho</t>
    </r>
    <r>
      <rPr>
        <sz val="11"/>
        <color theme="1"/>
        <rFont val="Calibri"/>
        <family val="2"/>
        <scheme val="minor"/>
      </rPr>
      <t>=4A</t>
    </r>
    <r>
      <rPr>
        <vertAlign val="subscript"/>
        <sz val="11"/>
        <color indexed="8"/>
        <rFont val="Calibri"/>
        <family val="2"/>
      </rPr>
      <t>o</t>
    </r>
    <r>
      <rPr>
        <sz val="11"/>
        <color theme="1"/>
        <rFont val="Calibri"/>
        <family val="2"/>
        <scheme val="minor"/>
      </rPr>
      <t>/</t>
    </r>
    <r>
      <rPr>
        <sz val="11"/>
        <color indexed="8"/>
        <rFont val="Calibri"/>
        <family val="2"/>
      </rPr>
      <t>П</t>
    </r>
    <r>
      <rPr>
        <vertAlign val="subscript"/>
        <sz val="11"/>
        <color indexed="8"/>
        <rFont val="Calibri"/>
        <family val="2"/>
      </rPr>
      <t>o</t>
    </r>
  </si>
  <si>
    <r>
      <t>L</t>
    </r>
    <r>
      <rPr>
        <sz val="11"/>
        <color theme="1"/>
        <rFont val="Calibri"/>
        <family val="2"/>
        <scheme val="minor"/>
      </rPr>
      <t>/D</t>
    </r>
    <r>
      <rPr>
        <vertAlign val="subscript"/>
        <sz val="11"/>
        <color indexed="8"/>
        <rFont val="Calibri"/>
        <family val="2"/>
      </rPr>
      <t>Ho</t>
    </r>
  </si>
  <si>
    <r>
      <t>tg(</t>
    </r>
    <r>
      <rPr>
        <sz val="11"/>
        <color indexed="8"/>
        <rFont val="Helvetica"/>
        <family val="2"/>
      </rPr>
      <t>α</t>
    </r>
    <r>
      <rPr>
        <sz val="11"/>
        <color indexed="8"/>
        <rFont val="Calibri"/>
        <family val="2"/>
      </rPr>
      <t>/2)</t>
    </r>
  </si>
  <si>
    <r>
      <t>sen(</t>
    </r>
    <r>
      <rPr>
        <sz val="11"/>
        <color indexed="8"/>
        <rFont val="Helvetica"/>
        <family val="2"/>
      </rPr>
      <t>α</t>
    </r>
    <r>
      <rPr>
        <sz val="11"/>
        <color indexed="8"/>
        <rFont val="Calibri"/>
        <family val="2"/>
      </rPr>
      <t>/2)</t>
    </r>
  </si>
  <si>
    <r>
      <t>a</t>
    </r>
    <r>
      <rPr>
        <sz val="11"/>
        <color theme="1"/>
        <rFont val="Calibri"/>
        <family val="2"/>
        <scheme val="minor"/>
      </rPr>
      <t>= 2 arctg[(</t>
    </r>
    <r>
      <rPr>
        <i/>
        <sz val="11"/>
        <color indexed="8"/>
        <rFont val="Calibri"/>
        <family val="2"/>
      </rPr>
      <t>a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-</t>
    </r>
    <r>
      <rPr>
        <i/>
        <sz val="11"/>
        <color indexed="8"/>
        <rFont val="Calibri"/>
        <family val="2"/>
      </rPr>
      <t>a</t>
    </r>
    <r>
      <rPr>
        <vertAlign val="subscript"/>
        <sz val="11"/>
        <color indexed="8"/>
        <rFont val="Calibri"/>
        <family val="2"/>
      </rPr>
      <t>o</t>
    </r>
    <r>
      <rPr>
        <sz val="11"/>
        <color theme="1"/>
        <rFont val="Calibri"/>
        <family val="2"/>
        <scheme val="minor"/>
      </rPr>
      <t>)/2L]</t>
    </r>
  </si>
  <si>
    <r>
      <t>k</t>
    </r>
    <r>
      <rPr>
        <sz val="11"/>
        <color theme="1"/>
        <rFont val="Calibri"/>
        <family val="2"/>
        <scheme val="minor"/>
      </rPr>
      <t/>
    </r>
  </si>
  <si>
    <r>
      <t>b</t>
    </r>
    <r>
      <rPr>
        <sz val="11"/>
        <color theme="1"/>
        <rFont val="Calibri"/>
        <family val="2"/>
        <scheme val="minor"/>
      </rPr>
      <t>= 2 arctg[(</t>
    </r>
    <r>
      <rPr>
        <i/>
        <sz val="11"/>
        <color indexed="8"/>
        <rFont val="Calibri"/>
        <family val="2"/>
      </rPr>
      <t>b</t>
    </r>
    <r>
      <rPr>
        <vertAlign val="sub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>-</t>
    </r>
    <r>
      <rPr>
        <i/>
        <sz val="11"/>
        <color indexed="8"/>
        <rFont val="Calibri"/>
        <family val="2"/>
      </rPr>
      <t>b</t>
    </r>
    <r>
      <rPr>
        <vertAlign val="subscript"/>
        <sz val="11"/>
        <color indexed="8"/>
        <rFont val="Calibri"/>
        <family val="2"/>
      </rPr>
      <t>o</t>
    </r>
    <r>
      <rPr>
        <sz val="11"/>
        <color theme="1"/>
        <rFont val="Calibri"/>
        <family val="2"/>
        <scheme val="minor"/>
      </rPr>
      <t>)/2L]</t>
    </r>
  </si>
  <si>
    <r>
      <rPr>
        <sz val="11"/>
        <color indexed="8"/>
        <rFont val="Helvetica"/>
        <family val="2"/>
      </rPr>
      <t>φ</t>
    </r>
    <r>
      <rPr>
        <vertAlign val="subscript"/>
        <sz val="11"/>
        <color indexed="8"/>
        <rFont val="Calibri"/>
        <family val="2"/>
      </rPr>
      <t>sing</t>
    </r>
    <r>
      <rPr>
        <sz val="11"/>
        <color indexed="8"/>
        <rFont val="Calibri"/>
        <family val="2"/>
      </rPr>
      <t xml:space="preserve">=k tg(β/2)  </t>
    </r>
    <r>
      <rPr>
        <vertAlign val="superscript"/>
        <sz val="11"/>
        <color indexed="8"/>
        <rFont val="Calibri"/>
        <family val="2"/>
      </rPr>
      <t>4</t>
    </r>
    <r>
      <rPr>
        <sz val="11"/>
        <color indexed="8"/>
        <rFont val="Symbol"/>
        <family val="1"/>
        <charset val="2"/>
      </rPr>
      <t>Ö</t>
    </r>
    <r>
      <rPr>
        <sz val="11"/>
        <color indexed="8"/>
        <rFont val="Calibri"/>
        <family val="2"/>
      </rPr>
      <t>tg(β/2)</t>
    </r>
  </si>
  <si>
    <r>
      <t>ζ</t>
    </r>
    <r>
      <rPr>
        <vertAlign val="subscript"/>
        <sz val="11"/>
        <color indexed="8"/>
        <rFont val="Calibri"/>
        <family val="2"/>
      </rPr>
      <t>sing</t>
    </r>
    <r>
      <rPr>
        <sz val="11"/>
        <color indexed="8"/>
        <rFont val="Calibri"/>
        <family val="2"/>
      </rPr>
      <t>=</t>
    </r>
    <r>
      <rPr>
        <sz val="11"/>
        <color indexed="8"/>
        <rFont val="Helvetica"/>
        <family val="2"/>
      </rPr>
      <t>φ</t>
    </r>
    <r>
      <rPr>
        <vertAlign val="subscript"/>
        <sz val="11"/>
        <color indexed="8"/>
        <rFont val="Calibri"/>
        <family val="2"/>
      </rPr>
      <t>sing</t>
    </r>
    <r>
      <rPr>
        <sz val="11"/>
        <color indexed="8"/>
        <rFont val="Calibri"/>
        <family val="2"/>
      </rPr>
      <t>(1-1/n</t>
    </r>
    <r>
      <rPr>
        <vertAlign val="sub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</rPr>
      <t>)</t>
    </r>
    <r>
      <rPr>
        <vertAlign val="superscript"/>
        <sz val="11"/>
        <color indexed="8"/>
        <rFont val="Calibri"/>
        <family val="2"/>
      </rPr>
      <t>2</t>
    </r>
  </si>
  <si>
    <r>
      <t>ζ=ζ</t>
    </r>
    <r>
      <rPr>
        <vertAlign val="subscript"/>
        <sz val="11"/>
        <color indexed="8"/>
        <rFont val="Calibri"/>
        <family val="2"/>
      </rPr>
      <t>sing</t>
    </r>
    <r>
      <rPr>
        <sz val="11"/>
        <color indexed="8"/>
        <rFont val="Calibri"/>
        <family val="2"/>
      </rPr>
      <t>+ζ</t>
    </r>
    <r>
      <rPr>
        <i/>
        <vertAlign val="subscript"/>
        <sz val="11"/>
        <color indexed="8"/>
        <rFont val="Calibri"/>
        <family val="2"/>
      </rPr>
      <t>f</t>
    </r>
  </si>
  <si>
    <t>x</t>
  </si>
  <si>
    <t>y</t>
  </si>
  <si>
    <t>Contraction curve shape</t>
  </si>
  <si>
    <t>Constants</t>
  </si>
  <si>
    <r>
      <t>ρ [kg/m</t>
    </r>
    <r>
      <rPr>
        <b/>
        <vertAlign val="superscript"/>
        <sz val="11"/>
        <color indexed="8"/>
        <rFont val="Calibri"/>
        <family val="2"/>
      </rPr>
      <t>3]</t>
    </r>
  </si>
  <si>
    <r>
      <t>A [m</t>
    </r>
    <r>
      <rPr>
        <b/>
        <vertAlign val="superscript"/>
        <sz val="11"/>
        <color indexed="8"/>
        <rFont val="Calibri"/>
        <family val="2"/>
      </rPr>
      <t>2]</t>
    </r>
  </si>
  <si>
    <t>TOTAL</t>
  </si>
  <si>
    <r>
      <rPr>
        <b/>
        <i/>
        <sz val="11"/>
        <color indexed="8"/>
        <rFont val="Calibri"/>
        <family val="2"/>
      </rPr>
      <t>V</t>
    </r>
    <r>
      <rPr>
        <b/>
        <sz val="11"/>
        <color indexed="8"/>
        <rFont val="Calibri"/>
        <family val="2"/>
      </rPr>
      <t xml:space="preserve"> [m/s]</t>
    </r>
  </si>
  <si>
    <r>
      <t>Q=</t>
    </r>
    <r>
      <rPr>
        <b/>
        <i/>
        <sz val="11"/>
        <color indexed="8"/>
        <rFont val="Calibri"/>
        <family val="2"/>
      </rPr>
      <t>V·</t>
    </r>
    <r>
      <rPr>
        <b/>
        <sz val="11"/>
        <color indexed="8"/>
        <rFont val="Calibri"/>
        <family val="2"/>
      </rPr>
      <t>A [m</t>
    </r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>/hr]</t>
    </r>
  </si>
  <si>
    <t>ELEMENTS</t>
  </si>
  <si>
    <r>
      <t>ζ</t>
    </r>
    <r>
      <rPr>
        <b/>
        <i/>
        <vertAlign val="subscript"/>
        <sz val="11"/>
        <color indexed="8"/>
        <rFont val="Calibri"/>
        <family val="2"/>
      </rPr>
      <t>friction</t>
    </r>
  </si>
  <si>
    <r>
      <t>ζ</t>
    </r>
    <r>
      <rPr>
        <b/>
        <vertAlign val="subscript"/>
        <sz val="11"/>
        <color indexed="8"/>
        <rFont val="Calibri"/>
        <family val="2"/>
      </rPr>
      <t>singular</t>
    </r>
  </si>
  <si>
    <r>
      <t>ζ</t>
    </r>
    <r>
      <rPr>
        <b/>
        <vertAlign val="subscript"/>
        <sz val="11"/>
        <color indexed="8"/>
        <rFont val="Calibri"/>
        <family val="2"/>
      </rPr>
      <t>total</t>
    </r>
  </si>
  <si>
    <r>
      <t>A</t>
    </r>
    <r>
      <rPr>
        <b/>
        <i/>
        <vertAlign val="subscript"/>
        <sz val="11"/>
        <rFont val="Calibri"/>
        <family val="2"/>
      </rPr>
      <t>i</t>
    </r>
  </si>
  <si>
    <r>
      <t>[A</t>
    </r>
    <r>
      <rPr>
        <b/>
        <i/>
        <vertAlign val="subscript"/>
        <sz val="11"/>
        <rFont val="Calibri"/>
        <family val="2"/>
      </rPr>
      <t>i/Ao</t>
    </r>
    <r>
      <rPr>
        <b/>
        <sz val="11"/>
        <rFont val="Calibri"/>
        <family val="2"/>
      </rPr>
      <t>]</t>
    </r>
    <r>
      <rPr>
        <b/>
        <vertAlign val="superscript"/>
        <sz val="11"/>
        <rFont val="Calibri"/>
        <family val="2"/>
      </rPr>
      <t>2</t>
    </r>
  </si>
  <si>
    <r>
      <t>ζ</t>
    </r>
    <r>
      <rPr>
        <b/>
        <vertAlign val="subscript"/>
        <sz val="11"/>
        <rFont val="Calibri"/>
        <family val="2"/>
      </rPr>
      <t>o</t>
    </r>
    <r>
      <rPr>
        <b/>
        <i/>
        <vertAlign val="subscript"/>
        <sz val="11"/>
        <rFont val="Calibri"/>
        <family val="2"/>
      </rPr>
      <t>i</t>
    </r>
    <r>
      <rPr>
        <b/>
        <sz val="11"/>
        <rFont val="Calibri"/>
        <family val="2"/>
      </rPr>
      <t>=ζ</t>
    </r>
    <r>
      <rPr>
        <b/>
        <i/>
        <vertAlign val="subscript"/>
        <sz val="11"/>
        <rFont val="Calibri"/>
        <family val="2"/>
      </rPr>
      <t>i</t>
    </r>
    <r>
      <rPr>
        <b/>
        <sz val="11"/>
        <rFont val="Calibri"/>
        <family val="2"/>
      </rPr>
      <t>[A</t>
    </r>
    <r>
      <rPr>
        <b/>
        <vertAlign val="subscript"/>
        <sz val="11"/>
        <rFont val="Calibri"/>
        <family val="2"/>
      </rPr>
      <t>o</t>
    </r>
    <r>
      <rPr>
        <b/>
        <sz val="11"/>
        <rFont val="Calibri"/>
        <family val="2"/>
      </rPr>
      <t>/A</t>
    </r>
    <r>
      <rPr>
        <b/>
        <i/>
        <vertAlign val="subscript"/>
        <sz val="11"/>
        <rFont val="Calibri"/>
        <family val="2"/>
      </rPr>
      <t>i</t>
    </r>
    <r>
      <rPr>
        <b/>
        <sz val="11"/>
        <rFont val="Calibri"/>
        <family val="2"/>
      </rPr>
      <t>]</t>
    </r>
    <r>
      <rPr>
        <b/>
        <vertAlign val="superscript"/>
        <sz val="11"/>
        <rFont val="Calibri"/>
        <family val="2"/>
      </rPr>
      <t>2</t>
    </r>
  </si>
  <si>
    <r>
      <t>ΔP=½ρ</t>
    </r>
    <r>
      <rPr>
        <b/>
        <i/>
        <sz val="11"/>
        <rFont val="Calibri"/>
        <family val="2"/>
      </rPr>
      <t>V</t>
    </r>
    <r>
      <rPr>
        <b/>
        <vertAlign val="superscript"/>
        <sz val="11"/>
        <rFont val="Calibri"/>
        <family val="2"/>
      </rPr>
      <t>2</t>
    </r>
    <r>
      <rPr>
        <b/>
        <sz val="11"/>
        <rFont val="Calibri"/>
        <family val="2"/>
      </rPr>
      <t>ζ</t>
    </r>
    <r>
      <rPr>
        <b/>
        <vertAlign val="subscript"/>
        <sz val="11"/>
        <rFont val="Calibri"/>
        <family val="2"/>
      </rPr>
      <t>o</t>
    </r>
    <r>
      <rPr>
        <b/>
        <i/>
        <vertAlign val="subscript"/>
        <sz val="11"/>
        <rFont val="Calibri"/>
        <family val="2"/>
      </rPr>
      <t>i</t>
    </r>
  </si>
  <si>
    <t>%ΔP</t>
  </si>
  <si>
    <t>TOTAL [mm H2O]</t>
  </si>
  <si>
    <t>Ideal</t>
  </si>
  <si>
    <t>[kW]</t>
  </si>
  <si>
    <t>Real</t>
  </si>
  <si>
    <t>VENTILADOR</t>
  </si>
  <si>
    <t>Warnings</t>
  </si>
  <si>
    <t>Attention!</t>
  </si>
  <si>
    <t>Warning!</t>
  </si>
  <si>
    <t>out of recommended ratio</t>
  </si>
  <si>
    <t>acceptable</t>
  </si>
  <si>
    <t>accurate design</t>
  </si>
  <si>
    <t>excessive expansion angle</t>
  </si>
  <si>
    <t>NOT expansion angle</t>
  </si>
  <si>
    <t>NOT equal Longitudinal dimension</t>
  </si>
  <si>
    <t>NOT equal Transversal dimension</t>
  </si>
  <si>
    <t>TOTAL LENGTH (M)</t>
  </si>
  <si>
    <t>Total wind tunnel height (m)</t>
  </si>
  <si>
    <t>Total wind tunnel length (m)</t>
  </si>
  <si>
    <t>TOTAL HEIGHT (M)</t>
  </si>
  <si>
    <t>Power plant efficiency</t>
  </si>
  <si>
    <t>Calculate the cross-sectional area of the test section: 40cm x 40cm = 0.16 m²</t>
  </si>
  <si>
    <t>Determine the desired volumetric flow rate: 0.16 m² x 30 m/s = 4.8 m³/s</t>
  </si>
  <si>
    <t>Estimate the total pressure loss coefficient (K) for your tunnel design: This involves considering the factors mentioned above. Typical values for open-circuit wind tunnels range from 0.5 to 1.5.</t>
  </si>
  <si>
    <t>Calculate the dynamic pressure head (q): q = 1/2 * ? * V² , where ? is air density (around 1.2 kg/m³ at standard conditions) and V is the wind speed (30 m/s).</t>
  </si>
  <si>
    <t>Calculate the total pressure loss: ?P = K * q</t>
  </si>
  <si>
    <t>Select a suitable fan: Choose a fan with a pressure rise (?P) and flow rate (4.8 m³/s) that meet your requirements. Refer to the fan curves for different models to make the best choice.</t>
  </si>
  <si>
    <t>Calculate the fan power: Power = ?P * Q / ? , where Q is the flow rate and ? is the fan efficiency (typically around 60-80%).</t>
  </si>
  <si>
    <t>P (kW)</t>
  </si>
  <si>
    <t>PRESSURE LOSSES CALCULATION</t>
  </si>
  <si>
    <t>Diffuser pressure loss coefficient, ζ</t>
  </si>
  <si>
    <t>Diff dynamic pressure (Pa)</t>
  </si>
  <si>
    <t>V_diff (m/s)</t>
  </si>
  <si>
    <t>A_diff (m2)</t>
  </si>
  <si>
    <t>A_TS (m2)</t>
  </si>
  <si>
    <t>Q (m3/s)</t>
  </si>
  <si>
    <t>Pressure loss coefficient in the discharge, ζ</t>
  </si>
  <si>
    <t>Test section dynamic pressure (Pa)</t>
  </si>
  <si>
    <t>WT pressure loss coefficient, ζ</t>
  </si>
  <si>
    <t>Potential</t>
  </si>
  <si>
    <t>Eficiency</t>
  </si>
  <si>
    <t>HONEYCOMB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</si>
</sst>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"/>
    <numFmt numFmtId="167" formatCode="0.0%"/>
  </numFmts>
  <fonts count="4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b/>
      <vertAlign val="superscript"/>
      <sz val="11"/>
      <color indexed="8"/>
      <name val="Calibri"/>
      <family val="2"/>
    </font>
    <font>
      <sz val="12"/>
      <color indexed="8"/>
      <name val="Calibri"/>
      <family val="2"/>
      <charset val="128"/>
      <scheme val="minor"/>
    </font>
    <font>
      <sz val="12"/>
      <color indexed="8"/>
      <name val="Calibri"/>
      <family val="2"/>
      <charset val="128"/>
    </font>
    <font>
      <sz val="11"/>
      <color indexed="8"/>
      <name val="Symbol"/>
      <family val="1"/>
      <charset val="2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Helvetica"/>
      <family val="2"/>
    </font>
    <font>
      <i/>
      <sz val="11"/>
      <color indexed="8"/>
      <name val="Symbol"/>
      <family val="1"/>
      <charset val="2"/>
    </font>
    <font>
      <vertAlign val="superscript"/>
      <sz val="11"/>
      <color indexed="8"/>
      <name val="Times New Roman"/>
      <family val="1"/>
    </font>
    <font>
      <sz val="11"/>
      <name val="Calibri"/>
      <family val="2"/>
    </font>
    <font>
      <i/>
      <vertAlign val="sub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  <charset val="128"/>
    </font>
    <font>
      <b/>
      <sz val="12"/>
      <color theme="0"/>
      <name val="Calibri"/>
      <family val="2"/>
    </font>
    <font>
      <b/>
      <sz val="12"/>
      <color indexed="9"/>
      <name val="Calibri"/>
      <family val="2"/>
    </font>
    <font>
      <b/>
      <sz val="12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12"/>
      <color indexed="23"/>
      <name val="Calibri"/>
      <family val="2"/>
      <charset val="128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i/>
      <vertAlign val="subscript"/>
      <sz val="1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vertAlign val="subscript"/>
      <sz val="11"/>
      <name val="Calibri"/>
      <family val="2"/>
    </font>
    <font>
      <b/>
      <i/>
      <sz val="11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D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5">
    <xf numFmtId="0" fontId="0" fillId="0" borderId="0"/>
    <xf numFmtId="0" fontId="2" fillId="0" borderId="0"/>
    <xf numFmtId="0" fontId="40" fillId="5" borderId="19" applyNumberFormat="0" applyAlignment="0" applyProtection="0"/>
    <xf numFmtId="9" fontId="41" fillId="0" borderId="0" applyFont="0" applyFill="0" applyBorder="0" applyAlignment="0" applyProtection="0"/>
    <xf numFmtId="0" fontId="41" fillId="6" borderId="0" applyNumberFormat="0" applyBorder="0" applyAlignment="0" applyProtection="0"/>
  </cellStyleXfs>
  <cellXfs count="146">
    <xf numFmtId="0" fontId="0" fillId="0" borderId="0" xfId="0"/>
    <xf numFmtId="0" fontId="2" fillId="2" borderId="1" xfId="1" applyFill="1" applyBorder="1"/>
    <xf numFmtId="0" fontId="4" fillId="2" borderId="1" xfId="1" applyFont="1" applyFill="1" applyBorder="1"/>
    <xf numFmtId="0" fontId="10" fillId="0" borderId="1" xfId="0" applyFont="1" applyBorder="1"/>
    <xf numFmtId="164" fontId="0" fillId="0" borderId="0" xfId="0" applyNumberFormat="1" applyAlignment="1">
      <alignment horizontal="right" vertical="center"/>
    </xf>
    <xf numFmtId="0" fontId="11" fillId="0" borderId="1" xfId="0" applyFont="1" applyBorder="1"/>
    <xf numFmtId="16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7" fillId="0" borderId="1" xfId="0" applyFont="1" applyBorder="1"/>
    <xf numFmtId="11" fontId="0" fillId="0" borderId="0" xfId="0" applyNumberFormat="1"/>
    <xf numFmtId="164" fontId="13" fillId="0" borderId="1" xfId="0" applyNumberFormat="1" applyFont="1" applyBorder="1" applyAlignment="1">
      <alignment horizontal="right" vertical="center"/>
    </xf>
    <xf numFmtId="11" fontId="0" fillId="0" borderId="1" xfId="0" applyNumberFormat="1" applyBorder="1" applyAlignment="1">
      <alignment horizontal="right" vertical="center"/>
    </xf>
    <xf numFmtId="0" fontId="6" fillId="0" borderId="1" xfId="0" applyFont="1" applyBorder="1"/>
    <xf numFmtId="11" fontId="17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justify"/>
    </xf>
    <xf numFmtId="0" fontId="1" fillId="0" borderId="2" xfId="0" applyFont="1" applyBorder="1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164" fontId="13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/>
    </xf>
    <xf numFmtId="11" fontId="0" fillId="0" borderId="0" xfId="0" applyNumberFormat="1" applyAlignment="1">
      <alignment horizontal="right" vertical="center"/>
    </xf>
    <xf numFmtId="164" fontId="10" fillId="0" borderId="3" xfId="0" applyNumberFormat="1" applyFon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0" xfId="0" applyNumberFormat="1"/>
    <xf numFmtId="164" fontId="1" fillId="0" borderId="6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0" fontId="19" fillId="0" borderId="0" xfId="0" applyFont="1"/>
    <xf numFmtId="0" fontId="0" fillId="0" borderId="0" xfId="0" applyAlignment="1">
      <alignment horizontal="right" vertical="center"/>
    </xf>
    <xf numFmtId="0" fontId="2" fillId="0" borderId="9" xfId="1" applyBorder="1"/>
    <xf numFmtId="0" fontId="2" fillId="0" borderId="0" xfId="1"/>
    <xf numFmtId="0" fontId="2" fillId="0" borderId="1" xfId="1" applyBorder="1" applyAlignment="1">
      <alignment horizontal="center"/>
    </xf>
    <xf numFmtId="0" fontId="2" fillId="0" borderId="1" xfId="1" applyBorder="1"/>
    <xf numFmtId="164" fontId="20" fillId="0" borderId="1" xfId="1" applyNumberFormat="1" applyFont="1" applyBorder="1"/>
    <xf numFmtId="164" fontId="2" fillId="0" borderId="0" xfId="1" applyNumberFormat="1"/>
    <xf numFmtId="164" fontId="2" fillId="0" borderId="1" xfId="1" applyNumberFormat="1" applyBorder="1"/>
    <xf numFmtId="0" fontId="0" fillId="2" borderId="0" xfId="0" applyFill="1"/>
    <xf numFmtId="164" fontId="2" fillId="2" borderId="1" xfId="1" applyNumberFormat="1" applyFill="1" applyBorder="1"/>
    <xf numFmtId="0" fontId="2" fillId="2" borderId="0" xfId="1" applyFill="1"/>
    <xf numFmtId="0" fontId="1" fillId="2" borderId="0" xfId="0" applyFont="1" applyFill="1"/>
    <xf numFmtId="164" fontId="21" fillId="2" borderId="1" xfId="1" applyNumberFormat="1" applyFont="1" applyFill="1" applyBorder="1"/>
    <xf numFmtId="0" fontId="0" fillId="2" borderId="1" xfId="0" applyFill="1" applyBorder="1"/>
    <xf numFmtId="0" fontId="5" fillId="2" borderId="1" xfId="1" applyFont="1" applyFill="1" applyBorder="1"/>
    <xf numFmtId="2" fontId="24" fillId="2" borderId="1" xfId="1" applyNumberFormat="1" applyFont="1" applyFill="1" applyBorder="1"/>
    <xf numFmtId="2" fontId="24" fillId="2" borderId="0" xfId="1" applyNumberFormat="1" applyFont="1" applyFill="1"/>
    <xf numFmtId="164" fontId="2" fillId="2" borderId="0" xfId="1" applyNumberFormat="1" applyFill="1"/>
    <xf numFmtId="164" fontId="24" fillId="2" borderId="0" xfId="1" applyNumberFormat="1" applyFont="1" applyFill="1"/>
    <xf numFmtId="164" fontId="10" fillId="0" borderId="0" xfId="0" applyNumberFormat="1" applyFont="1" applyAlignment="1">
      <alignment horizontal="right" vertical="center"/>
    </xf>
    <xf numFmtId="164" fontId="27" fillId="0" borderId="1" xfId="0" applyNumberFormat="1" applyFont="1" applyBorder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0" fontId="27" fillId="0" borderId="1" xfId="0" applyFont="1" applyBorder="1"/>
    <xf numFmtId="11" fontId="27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164" fontId="17" fillId="0" borderId="1" xfId="0" applyNumberFormat="1" applyFont="1" applyBorder="1" applyAlignment="1">
      <alignment horizontal="right" vertical="center"/>
    </xf>
    <xf numFmtId="0" fontId="7" fillId="0" borderId="0" xfId="0" applyFont="1"/>
    <xf numFmtId="164" fontId="2" fillId="0" borderId="0" xfId="1" applyNumberFormat="1" applyAlignment="1">
      <alignment horizontal="center" vertical="center"/>
    </xf>
    <xf numFmtId="164" fontId="29" fillId="0" borderId="0" xfId="1" applyNumberFormat="1" applyFont="1"/>
    <xf numFmtId="0" fontId="29" fillId="0" borderId="0" xfId="1" applyFont="1"/>
    <xf numFmtId="164" fontId="21" fillId="0" borderId="0" xfId="1" applyNumberFormat="1" applyFont="1"/>
    <xf numFmtId="0" fontId="21" fillId="0" borderId="0" xfId="1" applyFont="1"/>
    <xf numFmtId="0" fontId="31" fillId="0" borderId="1" xfId="0" applyFont="1" applyBorder="1" applyAlignment="1">
      <alignment horizontal="left"/>
    </xf>
    <xf numFmtId="164" fontId="0" fillId="0" borderId="1" xfId="0" applyNumberFormat="1" applyBorder="1" applyAlignment="1">
      <alignment vertical="center"/>
    </xf>
    <xf numFmtId="164" fontId="27" fillId="0" borderId="1" xfId="0" applyNumberFormat="1" applyFont="1" applyBorder="1" applyAlignment="1">
      <alignment vertical="center"/>
    </xf>
    <xf numFmtId="0" fontId="1" fillId="0" borderId="0" xfId="0" applyFont="1"/>
    <xf numFmtId="0" fontId="27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6" fillId="0" borderId="0" xfId="0" applyFont="1"/>
    <xf numFmtId="0" fontId="30" fillId="4" borderId="0" xfId="1" applyFont="1" applyFill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4" borderId="14" xfId="1" applyFont="1" applyFill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64" fontId="2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/>
    </xf>
    <xf numFmtId="9" fontId="2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4" fontId="26" fillId="0" borderId="0" xfId="0" applyNumberFormat="1" applyFont="1"/>
    <xf numFmtId="4" fontId="0" fillId="0" borderId="0" xfId="0" applyNumberFormat="1"/>
    <xf numFmtId="0" fontId="40" fillId="5" borderId="19" xfId="2" applyAlignment="1">
      <alignment horizontal="center" vertical="center"/>
    </xf>
    <xf numFmtId="2" fontId="40" fillId="5" borderId="19" xfId="2" applyNumberFormat="1"/>
    <xf numFmtId="0" fontId="39" fillId="0" borderId="0" xfId="0" applyFont="1"/>
    <xf numFmtId="0" fontId="40" fillId="5" borderId="19" xfId="2" applyProtection="1">
      <protection locked="0"/>
    </xf>
    <xf numFmtId="164" fontId="40" fillId="5" borderId="19" xfId="2" applyNumberFormat="1" applyProtection="1">
      <protection locked="0"/>
    </xf>
    <xf numFmtId="2" fontId="40" fillId="5" borderId="19" xfId="2" applyNumberFormat="1" applyProtection="1">
      <protection locked="0"/>
    </xf>
    <xf numFmtId="164" fontId="40" fillId="5" borderId="19" xfId="2" applyNumberFormat="1" applyAlignment="1" applyProtection="1">
      <alignment vertical="center"/>
      <protection locked="0"/>
    </xf>
    <xf numFmtId="11" fontId="40" fillId="5" borderId="19" xfId="2" applyNumberFormat="1" applyAlignment="1" applyProtection="1">
      <alignment horizontal="right" vertical="center"/>
      <protection locked="0"/>
    </xf>
    <xf numFmtId="1" fontId="40" fillId="5" borderId="19" xfId="2" applyNumberFormat="1" applyProtection="1">
      <protection locked="0"/>
    </xf>
    <xf numFmtId="0" fontId="2" fillId="2" borderId="2" xfId="1" applyFill="1" applyBorder="1"/>
    <xf numFmtId="166" fontId="40" fillId="5" borderId="20" xfId="2" applyNumberFormat="1" applyBorder="1" applyProtection="1">
      <protection locked="0"/>
    </xf>
    <xf numFmtId="166" fontId="40" fillId="5" borderId="1" xfId="2" applyNumberFormat="1" applyBorder="1" applyProtection="1">
      <protection locked="0"/>
    </xf>
    <xf numFmtId="164" fontId="21" fillId="2" borderId="0" xfId="1" applyNumberFormat="1" applyFont="1" applyFill="1"/>
    <xf numFmtId="166" fontId="2" fillId="2" borderId="1" xfId="1" applyNumberFormat="1" applyFill="1" applyBorder="1"/>
    <xf numFmtId="0" fontId="26" fillId="2" borderId="1" xfId="0" applyFont="1" applyFill="1" applyBorder="1"/>
    <xf numFmtId="166" fontId="0" fillId="2" borderId="1" xfId="0" applyNumberFormat="1" applyFill="1" applyBorder="1"/>
    <xf numFmtId="0" fontId="43" fillId="2" borderId="1" xfId="1" applyFont="1" applyFill="1" applyBorder="1"/>
    <xf numFmtId="164" fontId="44" fillId="2" borderId="1" xfId="1" applyNumberFormat="1" applyFont="1" applyFill="1" applyBorder="1"/>
    <xf numFmtId="0" fontId="1" fillId="2" borderId="1" xfId="0" applyFont="1" applyFill="1" applyBorder="1"/>
    <xf numFmtId="0" fontId="41" fillId="6" borderId="1" xfId="4" applyBorder="1"/>
    <xf numFmtId="166" fontId="41" fillId="6" borderId="1" xfId="4" applyNumberFormat="1" applyBorder="1"/>
    <xf numFmtId="0" fontId="1" fillId="6" borderId="1" xfId="4" applyFont="1" applyBorder="1"/>
    <xf numFmtId="2" fontId="1" fillId="6" borderId="1" xfId="4" applyNumberFormat="1" applyFont="1" applyBorder="1"/>
    <xf numFmtId="0" fontId="41" fillId="6" borderId="1" xfId="4" applyNumberFormat="1" applyBorder="1"/>
    <xf numFmtId="0" fontId="45" fillId="2" borderId="1" xfId="0" applyFont="1" applyFill="1" applyBorder="1"/>
    <xf numFmtId="164" fontId="46" fillId="2" borderId="1" xfId="1" applyNumberFormat="1" applyFont="1" applyFill="1" applyBorder="1"/>
    <xf numFmtId="9" fontId="2" fillId="2" borderId="1" xfId="3" applyFont="1" applyFill="1" applyBorder="1"/>
    <xf numFmtId="167" fontId="26" fillId="7" borderId="1" xfId="0" applyNumberFormat="1" applyFont="1" applyFill="1" applyBorder="1" applyAlignment="1">
      <alignment horizontal="center" vertical="center"/>
    </xf>
    <xf numFmtId="0" fontId="23" fillId="3" borderId="11" xfId="1" applyFont="1" applyFill="1" applyBorder="1" applyAlignment="1">
      <alignment horizontal="center"/>
    </xf>
    <xf numFmtId="0" fontId="23" fillId="3" borderId="0" xfId="1" applyFont="1" applyFill="1" applyAlignment="1">
      <alignment horizontal="center"/>
    </xf>
    <xf numFmtId="0" fontId="22" fillId="3" borderId="13" xfId="1" applyFont="1" applyFill="1" applyBorder="1" applyAlignment="1">
      <alignment horizontal="center"/>
    </xf>
    <xf numFmtId="0" fontId="22" fillId="3" borderId="14" xfId="1" applyFont="1" applyFill="1" applyBorder="1" applyAlignment="1">
      <alignment horizontal="center"/>
    </xf>
    <xf numFmtId="0" fontId="42" fillId="3" borderId="14" xfId="1" applyFont="1" applyFill="1" applyBorder="1" applyAlignment="1">
      <alignment horizontal="center"/>
    </xf>
    <xf numFmtId="0" fontId="2" fillId="0" borderId="10" xfId="1" applyBorder="1" applyAlignment="1">
      <alignment horizontal="center" vertical="center" wrapText="1"/>
    </xf>
    <xf numFmtId="164" fontId="20" fillId="0" borderId="1" xfId="1" applyNumberFormat="1" applyFont="1" applyBorder="1" applyAlignment="1">
      <alignment vertical="center"/>
    </xf>
    <xf numFmtId="0" fontId="2" fillId="0" borderId="10" xfId="1" applyBorder="1" applyAlignment="1">
      <alignment horizontal="center" vertical="center"/>
    </xf>
    <xf numFmtId="164" fontId="2" fillId="0" borderId="1" xfId="1" applyNumberForma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0" fillId="4" borderId="0" xfId="1" applyFont="1" applyFill="1" applyAlignment="1">
      <alignment horizontal="center" vertical="center"/>
    </xf>
    <xf numFmtId="0" fontId="30" fillId="4" borderId="15" xfId="1" applyFont="1" applyFill="1" applyBorder="1" applyAlignment="1">
      <alignment horizontal="center" vertical="center"/>
    </xf>
    <xf numFmtId="0" fontId="30" fillId="4" borderId="14" xfId="1" applyFont="1" applyFill="1" applyBorder="1" applyAlignment="1">
      <alignment horizontal="center" vertical="center"/>
    </xf>
    <xf numFmtId="0" fontId="30" fillId="4" borderId="16" xfId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</cellXfs>
  <cellStyles count="5">
    <cellStyle name="20% — akcent 1" xfId="4" builtinId="30"/>
    <cellStyle name="Dane wejściowe" xfId="2" builtinId="20"/>
    <cellStyle name="Normal 2" xfId="1" xr:uid="{D4D94A9B-909C-49A3-8F42-85EC188F3541}"/>
    <cellStyle name="Normalny" xfId="0" builtinId="0"/>
    <cellStyle name="Procentowy" xfId="3" builtinId="5"/>
  </cellStyles>
  <dxfs count="10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5.5192878467237296E-3"/>
          <c:y val="7.9936485549161797E-3"/>
          <c:w val="0.99448071215327605"/>
          <c:h val="0.72691863228016296"/>
        </c:manualLayout>
      </c:layout>
      <c:scatterChart>
        <c:scatterStyle val="lineMarker"/>
        <c:varyColors val="0"/>
        <c:ser>
          <c:idx val="0"/>
          <c:order val="0"/>
          <c:tx>
            <c:strRef>
              <c:f>Coordinates!$A$2</c:f>
              <c:strCache>
                <c:ptCount val="1"/>
                <c:pt idx="0">
                  <c:v>Test Section</c:v>
                </c:pt>
              </c:strCache>
            </c:strRef>
          </c:tx>
          <c:marker>
            <c:symbol val="none"/>
          </c:marker>
          <c:xVal>
            <c:numRef>
              <c:f>Coordinates!$B$2:$B$6</c:f>
              <c:numCache>
                <c:formatCode>0.000</c:formatCode>
                <c:ptCount val="5"/>
                <c:pt idx="0">
                  <c:v>0</c:v>
                </c:pt>
                <c:pt idx="1">
                  <c:v>0.89999999999999991</c:v>
                </c:pt>
                <c:pt idx="2">
                  <c:v>0.89999999999999991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Coordinates!$C$2:$C$6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0.3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7C-45DD-9F4A-9F5A2104BC13}"/>
            </c:ext>
          </c:extLst>
        </c:ser>
        <c:ser>
          <c:idx val="1"/>
          <c:order val="1"/>
          <c:tx>
            <c:strRef>
              <c:f>Coordinates!$A$8</c:f>
              <c:strCache>
                <c:ptCount val="1"/>
                <c:pt idx="0">
                  <c:v>Contraction</c:v>
                </c:pt>
              </c:strCache>
            </c:strRef>
          </c:tx>
          <c:marker>
            <c:symbol val="none"/>
          </c:marker>
          <c:xVal>
            <c:numRef>
              <c:f>(Coordinates!$G$8:$Y$8,Coordinates!$G$11:$Y$11)</c:f>
              <c:numCache>
                <c:formatCode>0.000</c:formatCode>
                <c:ptCount val="38"/>
                <c:pt idx="0">
                  <c:v>0.89999999999999991</c:v>
                </c:pt>
                <c:pt idx="1">
                  <c:v>0.94989247358635176</c:v>
                </c:pt>
                <c:pt idx="2">
                  <c:v>0.9997849471727035</c:v>
                </c:pt>
                <c:pt idx="3">
                  <c:v>1.0496774207590553</c:v>
                </c:pt>
                <c:pt idx="4">
                  <c:v>1.0995698943454071</c:v>
                </c:pt>
                <c:pt idx="5">
                  <c:v>1.149462367931759</c:v>
                </c:pt>
                <c:pt idx="6">
                  <c:v>1.1993548415181108</c:v>
                </c:pt>
                <c:pt idx="7">
                  <c:v>1.2492473151044625</c:v>
                </c:pt>
                <c:pt idx="8">
                  <c:v>1.2991397886908143</c:v>
                </c:pt>
                <c:pt idx="9">
                  <c:v>1.3490322622771662</c:v>
                </c:pt>
                <c:pt idx="10">
                  <c:v>1.398924735863518</c:v>
                </c:pt>
                <c:pt idx="11">
                  <c:v>1.4488172094498699</c:v>
                </c:pt>
                <c:pt idx="12">
                  <c:v>1.4987096830362217</c:v>
                </c:pt>
                <c:pt idx="13">
                  <c:v>1.5486021566225734</c:v>
                </c:pt>
                <c:pt idx="14">
                  <c:v>1.5984946302089253</c:v>
                </c:pt>
                <c:pt idx="15">
                  <c:v>1.6483871037952773</c:v>
                </c:pt>
                <c:pt idx="16">
                  <c:v>1.698279577381629</c:v>
                </c:pt>
                <c:pt idx="17">
                  <c:v>1.7481720509679808</c:v>
                </c:pt>
                <c:pt idx="18">
                  <c:v>1.7980645245543327</c:v>
                </c:pt>
                <c:pt idx="19">
                  <c:v>1.7980645245543325</c:v>
                </c:pt>
                <c:pt idx="20">
                  <c:v>1.7481720509679808</c:v>
                </c:pt>
                <c:pt idx="21">
                  <c:v>1.6982795773816288</c:v>
                </c:pt>
                <c:pt idx="22">
                  <c:v>1.6483871037952771</c:v>
                </c:pt>
                <c:pt idx="23">
                  <c:v>1.5984946302089253</c:v>
                </c:pt>
                <c:pt idx="24">
                  <c:v>1.5486021566225734</c:v>
                </c:pt>
                <c:pt idx="25">
                  <c:v>1.4987096830362217</c:v>
                </c:pt>
                <c:pt idx="26">
                  <c:v>1.4488172094498699</c:v>
                </c:pt>
                <c:pt idx="27">
                  <c:v>1.3989247358635182</c:v>
                </c:pt>
                <c:pt idx="28">
                  <c:v>1.3490322622771662</c:v>
                </c:pt>
                <c:pt idx="29">
                  <c:v>1.2991397886908145</c:v>
                </c:pt>
                <c:pt idx="30">
                  <c:v>1.2492473151044625</c:v>
                </c:pt>
                <c:pt idx="31">
                  <c:v>1.1993548415181108</c:v>
                </c:pt>
                <c:pt idx="32">
                  <c:v>1.149462367931759</c:v>
                </c:pt>
                <c:pt idx="33">
                  <c:v>1.0995698943454071</c:v>
                </c:pt>
                <c:pt idx="34">
                  <c:v>1.0496774207590551</c:v>
                </c:pt>
                <c:pt idx="35">
                  <c:v>0.99978494717270339</c:v>
                </c:pt>
                <c:pt idx="36">
                  <c:v>0.94989247358635154</c:v>
                </c:pt>
                <c:pt idx="37">
                  <c:v>0.89999999999999969</c:v>
                </c:pt>
              </c:numCache>
            </c:numRef>
          </c:xVal>
          <c:yVal>
            <c:numRef>
              <c:f>(Coordinates!$G$9:$Y$9,Coordinates!$G$12:$Y$12)</c:f>
              <c:numCache>
                <c:formatCode>0.000</c:formatCode>
                <c:ptCount val="38"/>
                <c:pt idx="0">
                  <c:v>0</c:v>
                </c:pt>
                <c:pt idx="1">
                  <c:v>-1.347975366409236E-3</c:v>
                </c:pt>
                <c:pt idx="2">
                  <c:v>-5.2901674757192653E-3</c:v>
                </c:pt>
                <c:pt idx="3">
                  <c:v>-1.1673975343053571E-2</c:v>
                </c:pt>
                <c:pt idx="4">
                  <c:v>-2.0346797983535635E-2</c:v>
                </c:pt>
                <c:pt idx="5">
                  <c:v>-3.1156034412288942E-2</c:v>
                </c:pt>
                <c:pt idx="6">
                  <c:v>-4.3949083644436969E-2</c:v>
                </c:pt>
                <c:pt idx="7">
                  <c:v>-5.8573344695103204E-2</c:v>
                </c:pt>
                <c:pt idx="8">
                  <c:v>-7.4876216579411112E-2</c:v>
                </c:pt>
                <c:pt idx="9">
                  <c:v>-9.2705098312484205E-2</c:v>
                </c:pt>
                <c:pt idx="10">
                  <c:v>-0.11053398004555733</c:v>
                </c:pt>
                <c:pt idx="11">
                  <c:v>-0.12683685192986524</c:v>
                </c:pt>
                <c:pt idx="12">
                  <c:v>-0.14146111298053152</c:v>
                </c:pt>
                <c:pt idx="13">
                  <c:v>-0.15425416221267957</c:v>
                </c:pt>
                <c:pt idx="14">
                  <c:v>-0.16506339864143285</c:v>
                </c:pt>
                <c:pt idx="15">
                  <c:v>-0.1737362212819149</c:v>
                </c:pt>
                <c:pt idx="16">
                  <c:v>-0.18012002914924921</c:v>
                </c:pt>
                <c:pt idx="17">
                  <c:v>-0.18406222125855926</c:v>
                </c:pt>
                <c:pt idx="18">
                  <c:v>-0.18541019662496849</c:v>
                </c:pt>
                <c:pt idx="19">
                  <c:v>0.48541019662496843</c:v>
                </c:pt>
                <c:pt idx="20">
                  <c:v>0.48406222125855919</c:v>
                </c:pt>
                <c:pt idx="21">
                  <c:v>0.48012002914924917</c:v>
                </c:pt>
                <c:pt idx="22">
                  <c:v>0.47373622128191484</c:v>
                </c:pt>
                <c:pt idx="23">
                  <c:v>0.46506339864143281</c:v>
                </c:pt>
                <c:pt idx="24">
                  <c:v>0.4542541622126795</c:v>
                </c:pt>
                <c:pt idx="25">
                  <c:v>0.44146111298053148</c:v>
                </c:pt>
                <c:pt idx="26">
                  <c:v>0.4268368519298652</c:v>
                </c:pt>
                <c:pt idx="27">
                  <c:v>0.4105339800455573</c:v>
                </c:pt>
                <c:pt idx="28">
                  <c:v>0.39270509831248424</c:v>
                </c:pt>
                <c:pt idx="29">
                  <c:v>0.37487621657941111</c:v>
                </c:pt>
                <c:pt idx="30">
                  <c:v>0.35857334469510316</c:v>
                </c:pt>
                <c:pt idx="31">
                  <c:v>0.34394908364443688</c:v>
                </c:pt>
                <c:pt idx="32">
                  <c:v>0.33115603441228886</c:v>
                </c:pt>
                <c:pt idx="33">
                  <c:v>0.3203467979835356</c:v>
                </c:pt>
                <c:pt idx="34">
                  <c:v>0.31167397534305352</c:v>
                </c:pt>
                <c:pt idx="35">
                  <c:v>0.30529016747571924</c:v>
                </c:pt>
                <c:pt idx="36">
                  <c:v>0.30134797536640917</c:v>
                </c:pt>
                <c:pt idx="37">
                  <c:v>0.29999999999999993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7C-45DD-9F4A-9F5A2104BC13}"/>
            </c:ext>
          </c:extLst>
        </c:ser>
        <c:ser>
          <c:idx val="2"/>
          <c:order val="2"/>
          <c:tx>
            <c:strRef>
              <c:f>Coordinates!$A$14</c:f>
              <c:strCache>
                <c:ptCount val="1"/>
                <c:pt idx="0">
                  <c:v>Settling Chamber</c:v>
                </c:pt>
              </c:strCache>
            </c:strRef>
          </c:tx>
          <c:marker>
            <c:symbol val="none"/>
          </c:marker>
          <c:xVal>
            <c:numRef>
              <c:f>Coordinates!$B$14:$B$18</c:f>
              <c:numCache>
                <c:formatCode>0.000</c:formatCode>
                <c:ptCount val="5"/>
                <c:pt idx="0">
                  <c:v>1.7980645245543325</c:v>
                </c:pt>
                <c:pt idx="1">
                  <c:v>1.8651465638793263</c:v>
                </c:pt>
                <c:pt idx="2">
                  <c:v>1.8651465638793263</c:v>
                </c:pt>
                <c:pt idx="3">
                  <c:v>1.7980645245543325</c:v>
                </c:pt>
                <c:pt idx="4">
                  <c:v>1.7980645245543325</c:v>
                </c:pt>
              </c:numCache>
            </c:numRef>
          </c:xVal>
          <c:yVal>
            <c:numRef>
              <c:f>Coordinates!$C$14:$C$18</c:f>
              <c:numCache>
                <c:formatCode>0.000</c:formatCode>
                <c:ptCount val="5"/>
                <c:pt idx="0">
                  <c:v>-0.18541019662496847</c:v>
                </c:pt>
                <c:pt idx="1">
                  <c:v>-0.18541019662496847</c:v>
                </c:pt>
                <c:pt idx="2">
                  <c:v>0.48541019662496843</c:v>
                </c:pt>
                <c:pt idx="3">
                  <c:v>0.48541019662496843</c:v>
                </c:pt>
                <c:pt idx="4">
                  <c:v>-0.18541019662496847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7C-45DD-9F4A-9F5A2104BC13}"/>
            </c:ext>
          </c:extLst>
        </c:ser>
        <c:ser>
          <c:idx val="3"/>
          <c:order val="3"/>
          <c:tx>
            <c:strRef>
              <c:f>Coordinates!$A$20</c:f>
              <c:strCache>
                <c:ptCount val="1"/>
                <c:pt idx="0">
                  <c:v>Diffuser 1</c:v>
                </c:pt>
              </c:strCache>
            </c:strRef>
          </c:tx>
          <c:marker>
            <c:symbol val="none"/>
          </c:marker>
          <c:xVal>
            <c:numRef>
              <c:f>Coordinates!$B$20:$B$24</c:f>
              <c:numCache>
                <c:formatCode>0.000</c:formatCode>
                <c:ptCount val="5"/>
                <c:pt idx="0">
                  <c:v>-2.1</c:v>
                </c:pt>
                <c:pt idx="1">
                  <c:v>0</c:v>
                </c:pt>
                <c:pt idx="2">
                  <c:v>0</c:v>
                </c:pt>
                <c:pt idx="3">
                  <c:v>-2.1</c:v>
                </c:pt>
                <c:pt idx="4">
                  <c:v>-2.1</c:v>
                </c:pt>
              </c:numCache>
            </c:numRef>
          </c:xVal>
          <c:yVal>
            <c:numRef>
              <c:f>Coordinates!$C$20:$C$24</c:f>
              <c:numCache>
                <c:formatCode>0.000</c:formatCode>
                <c:ptCount val="5"/>
                <c:pt idx="0">
                  <c:v>-0.12844150231601706</c:v>
                </c:pt>
                <c:pt idx="1">
                  <c:v>0</c:v>
                </c:pt>
                <c:pt idx="2">
                  <c:v>0.3</c:v>
                </c:pt>
                <c:pt idx="3">
                  <c:v>0.42844150231601708</c:v>
                </c:pt>
                <c:pt idx="4">
                  <c:v>-0.12844150231601706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67C-45DD-9F4A-9F5A2104BC13}"/>
            </c:ext>
          </c:extLst>
        </c:ser>
        <c:ser>
          <c:idx val="9"/>
          <c:order val="4"/>
          <c:tx>
            <c:strRef>
              <c:f>Coordinates!$A$27</c:f>
              <c:strCache>
                <c:ptCount val="1"/>
                <c:pt idx="0">
                  <c:v>Power Plant</c:v>
                </c:pt>
              </c:strCache>
            </c:strRef>
          </c:tx>
          <c:marker>
            <c:symbol val="none"/>
          </c:marker>
          <c:xVal>
            <c:numRef>
              <c:f>Coordinates!$B$27:$B$31</c:f>
              <c:numCache>
                <c:formatCode>0.000</c:formatCode>
                <c:ptCount val="5"/>
                <c:pt idx="0">
                  <c:v>-2.5176622534740258</c:v>
                </c:pt>
                <c:pt idx="1">
                  <c:v>-2.1</c:v>
                </c:pt>
                <c:pt idx="2">
                  <c:v>-2.1</c:v>
                </c:pt>
                <c:pt idx="3">
                  <c:v>-2.5176622534740258</c:v>
                </c:pt>
                <c:pt idx="4">
                  <c:v>-2.5176622534740258</c:v>
                </c:pt>
              </c:numCache>
            </c:numRef>
          </c:xVal>
          <c:yVal>
            <c:numRef>
              <c:f>Coordinates!$C$27:$C$31</c:f>
              <c:numCache>
                <c:formatCode>0.000</c:formatCode>
                <c:ptCount val="5"/>
                <c:pt idx="0">
                  <c:v>-0.12844150231601706</c:v>
                </c:pt>
                <c:pt idx="1">
                  <c:v>-0.12844150231601706</c:v>
                </c:pt>
                <c:pt idx="2">
                  <c:v>0.42844150231601708</c:v>
                </c:pt>
                <c:pt idx="3">
                  <c:v>0.42844150231601708</c:v>
                </c:pt>
                <c:pt idx="4">
                  <c:v>-0.12844150231601706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67C-45DD-9F4A-9F5A2104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1763320"/>
        <c:axId val="-2078725928"/>
      </c:scatterChart>
      <c:valAx>
        <c:axId val="-2101763320"/>
        <c:scaling>
          <c:orientation val="minMax"/>
        </c:scaling>
        <c:delete val="0"/>
        <c:axPos val="b"/>
        <c:majorGridlines/>
        <c:numFmt formatCode="#,##0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078725928"/>
        <c:crosses val="autoZero"/>
        <c:crossBetween val="midCat"/>
        <c:majorUnit val="1"/>
        <c:minorUnit val="1"/>
      </c:valAx>
      <c:valAx>
        <c:axId val="-2078725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101763320"/>
        <c:crosses val="autoZero"/>
        <c:crossBetween val="midCat"/>
        <c:majorUnit val="0.5"/>
        <c:minorUnit val="0.5"/>
      </c:valAx>
    </c:plotArea>
    <c:legend>
      <c:legendPos val="r"/>
      <c:layout>
        <c:manualLayout>
          <c:xMode val="edge"/>
          <c:yMode val="edge"/>
          <c:x val="0.13852276369786121"/>
          <c:y val="0.9154145290382304"/>
          <c:w val="0.71985637430254312"/>
          <c:h val="6.583307674099823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783725910064"/>
          <c:y val="0.15686324570837701"/>
          <c:w val="0.85224839400428298"/>
          <c:h val="0.74510041711479102"/>
        </c:manualLayout>
      </c:layout>
      <c:scatterChart>
        <c:scatterStyle val="lineMarker"/>
        <c:varyColors val="0"/>
        <c:ser>
          <c:idx val="0"/>
          <c:order val="0"/>
          <c:tx>
            <c:strRef>
              <c:f>Contraction!$A$27</c:f>
              <c:strCache>
                <c:ptCount val="1"/>
                <c:pt idx="0">
                  <c:v>Y [m]</c:v>
                </c:pt>
              </c:strCache>
            </c:strRef>
          </c:tx>
          <c:marker>
            <c:symbol val="none"/>
          </c:marker>
          <c:xVal>
            <c:numRef>
              <c:f>Contraction!$B$26:$T$26</c:f>
              <c:numCache>
                <c:formatCode>0.000</c:formatCode>
                <c:ptCount val="19"/>
                <c:pt idx="0">
                  <c:v>0</c:v>
                </c:pt>
                <c:pt idx="1">
                  <c:v>4.9892473586351814E-2</c:v>
                </c:pt>
                <c:pt idx="2">
                  <c:v>9.9784947172703628E-2</c:v>
                </c:pt>
                <c:pt idx="3">
                  <c:v>0.14967742075905544</c:v>
                </c:pt>
                <c:pt idx="4">
                  <c:v>0.19956989434540726</c:v>
                </c:pt>
                <c:pt idx="5">
                  <c:v>0.24946236793175908</c:v>
                </c:pt>
                <c:pt idx="6">
                  <c:v>0.29935484151811087</c:v>
                </c:pt>
                <c:pt idx="7">
                  <c:v>0.34924731510446266</c:v>
                </c:pt>
                <c:pt idx="8">
                  <c:v>0.39913978869081446</c:v>
                </c:pt>
                <c:pt idx="9">
                  <c:v>0.44903226227716625</c:v>
                </c:pt>
                <c:pt idx="10">
                  <c:v>0.49892473586351804</c:v>
                </c:pt>
                <c:pt idx="11">
                  <c:v>0.54881720944986989</c:v>
                </c:pt>
                <c:pt idx="12">
                  <c:v>0.59870968303622174</c:v>
                </c:pt>
                <c:pt idx="13">
                  <c:v>0.64860215662257359</c:v>
                </c:pt>
                <c:pt idx="14">
                  <c:v>0.69849463020892544</c:v>
                </c:pt>
                <c:pt idx="15">
                  <c:v>0.74838710379527729</c:v>
                </c:pt>
                <c:pt idx="16">
                  <c:v>0.79827957738162914</c:v>
                </c:pt>
                <c:pt idx="17">
                  <c:v>0.84817205096798098</c:v>
                </c:pt>
                <c:pt idx="18">
                  <c:v>0.89806452455433283</c:v>
                </c:pt>
              </c:numCache>
            </c:numRef>
          </c:xVal>
          <c:yVal>
            <c:numRef>
              <c:f>Contraction!$B$27:$T$27</c:f>
              <c:numCache>
                <c:formatCode>0.000</c:formatCode>
                <c:ptCount val="19"/>
                <c:pt idx="0">
                  <c:v>0</c:v>
                </c:pt>
                <c:pt idx="1">
                  <c:v>1.347975366409236E-3</c:v>
                </c:pt>
                <c:pt idx="2">
                  <c:v>5.2901674757192653E-3</c:v>
                </c:pt>
                <c:pt idx="3">
                  <c:v>1.1673975343053571E-2</c:v>
                </c:pt>
                <c:pt idx="4">
                  <c:v>2.0346797983535635E-2</c:v>
                </c:pt>
                <c:pt idx="5">
                  <c:v>3.1156034412288942E-2</c:v>
                </c:pt>
                <c:pt idx="6">
                  <c:v>4.3949083644436969E-2</c:v>
                </c:pt>
                <c:pt idx="7">
                  <c:v>5.8573344695103204E-2</c:v>
                </c:pt>
                <c:pt idx="8">
                  <c:v>7.4876216579411112E-2</c:v>
                </c:pt>
                <c:pt idx="9">
                  <c:v>9.2705098312484205E-2</c:v>
                </c:pt>
                <c:pt idx="10">
                  <c:v>0.11053398004555733</c:v>
                </c:pt>
                <c:pt idx="11">
                  <c:v>0.12683685192986524</c:v>
                </c:pt>
                <c:pt idx="12">
                  <c:v>0.14146111298053152</c:v>
                </c:pt>
                <c:pt idx="13">
                  <c:v>0.15425416221267957</c:v>
                </c:pt>
                <c:pt idx="14">
                  <c:v>0.16506339864143285</c:v>
                </c:pt>
                <c:pt idx="15">
                  <c:v>0.1737362212819149</c:v>
                </c:pt>
                <c:pt idx="16">
                  <c:v>0.18012002914924921</c:v>
                </c:pt>
                <c:pt idx="17">
                  <c:v>0.18406222125855926</c:v>
                </c:pt>
                <c:pt idx="18">
                  <c:v>0.18541019662496849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31-45B9-9EC0-D18EF9133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5513720"/>
        <c:axId val="-2085510584"/>
      </c:scatterChart>
      <c:valAx>
        <c:axId val="-208551372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085510584"/>
        <c:crosses val="autoZero"/>
        <c:crossBetween val="midCat"/>
      </c:valAx>
      <c:valAx>
        <c:axId val="-20855105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0855137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783725910064"/>
          <c:y val="0.15686324570837701"/>
          <c:w val="0.85224839400428298"/>
          <c:h val="0.74510041711479102"/>
        </c:manualLayout>
      </c:layout>
      <c:scatterChart>
        <c:scatterStyle val="lineMarker"/>
        <c:varyColors val="0"/>
        <c:ser>
          <c:idx val="0"/>
          <c:order val="0"/>
          <c:tx>
            <c:strRef>
              <c:f>Contraction!$A$39</c:f>
              <c:strCache>
                <c:ptCount val="1"/>
                <c:pt idx="0">
                  <c:v>Z [m]</c:v>
                </c:pt>
              </c:strCache>
            </c:strRef>
          </c:tx>
          <c:marker>
            <c:symbol val="none"/>
          </c:marker>
          <c:xVal>
            <c:numRef>
              <c:f>Contraction!$B$38:$T$38</c:f>
              <c:numCache>
                <c:formatCode>0.000</c:formatCode>
                <c:ptCount val="19"/>
                <c:pt idx="0">
                  <c:v>0</c:v>
                </c:pt>
                <c:pt idx="1">
                  <c:v>4.9892473586351814E-2</c:v>
                </c:pt>
                <c:pt idx="2">
                  <c:v>9.9784947172703628E-2</c:v>
                </c:pt>
                <c:pt idx="3">
                  <c:v>0.14967742075905544</c:v>
                </c:pt>
                <c:pt idx="4">
                  <c:v>0.19956989434540726</c:v>
                </c:pt>
                <c:pt idx="5">
                  <c:v>0.24946236793175908</c:v>
                </c:pt>
                <c:pt idx="6">
                  <c:v>0.29935484151811087</c:v>
                </c:pt>
                <c:pt idx="7">
                  <c:v>0.34924731510446266</c:v>
                </c:pt>
                <c:pt idx="8">
                  <c:v>0.39913978869081446</c:v>
                </c:pt>
                <c:pt idx="9">
                  <c:v>0.44903226227716625</c:v>
                </c:pt>
                <c:pt idx="10">
                  <c:v>0.49892473586351804</c:v>
                </c:pt>
                <c:pt idx="11">
                  <c:v>0.54881720944986989</c:v>
                </c:pt>
                <c:pt idx="12">
                  <c:v>0.59870968303622174</c:v>
                </c:pt>
                <c:pt idx="13">
                  <c:v>0.64860215662257359</c:v>
                </c:pt>
                <c:pt idx="14">
                  <c:v>0.69849463020892544</c:v>
                </c:pt>
                <c:pt idx="15">
                  <c:v>0.74838710379527729</c:v>
                </c:pt>
                <c:pt idx="16">
                  <c:v>0.79827957738162914</c:v>
                </c:pt>
                <c:pt idx="17">
                  <c:v>0.84817205096798098</c:v>
                </c:pt>
                <c:pt idx="18">
                  <c:v>0.89806452455433283</c:v>
                </c:pt>
              </c:numCache>
            </c:numRef>
          </c:xVal>
          <c:yVal>
            <c:numRef>
              <c:f>Contraction!$B$39:$T$39</c:f>
              <c:numCache>
                <c:formatCode>0.000</c:formatCode>
                <c:ptCount val="19"/>
                <c:pt idx="0">
                  <c:v>0</c:v>
                </c:pt>
                <c:pt idx="1">
                  <c:v>1.347975366409236E-3</c:v>
                </c:pt>
                <c:pt idx="2">
                  <c:v>5.2901674757192653E-3</c:v>
                </c:pt>
                <c:pt idx="3">
                  <c:v>1.1673975343053571E-2</c:v>
                </c:pt>
                <c:pt idx="4">
                  <c:v>2.0346797983535635E-2</c:v>
                </c:pt>
                <c:pt idx="5">
                  <c:v>3.1156034412288942E-2</c:v>
                </c:pt>
                <c:pt idx="6">
                  <c:v>4.3949083644436969E-2</c:v>
                </c:pt>
                <c:pt idx="7">
                  <c:v>5.8573344695103204E-2</c:v>
                </c:pt>
                <c:pt idx="8">
                  <c:v>7.4876216579411112E-2</c:v>
                </c:pt>
                <c:pt idx="9">
                  <c:v>9.2705098312484205E-2</c:v>
                </c:pt>
                <c:pt idx="10">
                  <c:v>0.11053398004555733</c:v>
                </c:pt>
                <c:pt idx="11">
                  <c:v>0.12683685192986524</c:v>
                </c:pt>
                <c:pt idx="12">
                  <c:v>0.14146111298053152</c:v>
                </c:pt>
                <c:pt idx="13">
                  <c:v>0.15425416221267957</c:v>
                </c:pt>
                <c:pt idx="14">
                  <c:v>0.16506339864143285</c:v>
                </c:pt>
                <c:pt idx="15">
                  <c:v>0.1737362212819149</c:v>
                </c:pt>
                <c:pt idx="16">
                  <c:v>0.18012002914924921</c:v>
                </c:pt>
                <c:pt idx="17">
                  <c:v>0.18406222125855926</c:v>
                </c:pt>
                <c:pt idx="18">
                  <c:v>0.18541019662496849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45-4417-8E23-F53E767F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5479640"/>
        <c:axId val="-2085476504"/>
      </c:scatterChart>
      <c:valAx>
        <c:axId val="-208547964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085476504"/>
        <c:crosses val="autoZero"/>
        <c:crossBetween val="midCat"/>
      </c:valAx>
      <c:valAx>
        <c:axId val="-208547650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208547964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TOTAL_PLoss!$H$7</c:f>
              <c:strCache>
                <c:ptCount val="1"/>
                <c:pt idx="0">
                  <c:v>ΔP=½ρV2ζoi</c:v>
                </c:pt>
              </c:strCache>
            </c:strRef>
          </c:tx>
          <c:xVal>
            <c:numRef>
              <c:f>TOTAL_PLoss!$H$5:$AF$5</c:f>
              <c:numCache>
                <c:formatCode>General</c:formatCode>
                <c:ptCount val="2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</c:numCache>
            </c:numRef>
          </c:xVal>
          <c:yVal>
            <c:numRef>
              <c:f>TOTAL_PLoss!$H$14:$AF$14</c:f>
              <c:numCache>
                <c:formatCode>0.000</c:formatCode>
                <c:ptCount val="25"/>
                <c:pt idx="0">
                  <c:v>0</c:v>
                </c:pt>
                <c:pt idx="1">
                  <c:v>2.633619569157486</c:v>
                </c:pt>
                <c:pt idx="2">
                  <c:v>10.534478276629944</c:v>
                </c:pt>
                <c:pt idx="3">
                  <c:v>23.702576122417373</c:v>
                </c:pt>
                <c:pt idx="4">
                  <c:v>42.137913106519775</c:v>
                </c:pt>
                <c:pt idx="5">
                  <c:v>65.840489228937145</c:v>
                </c:pt>
                <c:pt idx="6">
                  <c:v>94.810304489669491</c:v>
                </c:pt>
                <c:pt idx="7">
                  <c:v>129.04735888871679</c:v>
                </c:pt>
                <c:pt idx="8">
                  <c:v>168.5516524260791</c:v>
                </c:pt>
                <c:pt idx="9">
                  <c:v>213.32318510175634</c:v>
                </c:pt>
                <c:pt idx="10">
                  <c:v>263.36195691574858</c:v>
                </c:pt>
                <c:pt idx="11">
                  <c:v>318.66796786805583</c:v>
                </c:pt>
                <c:pt idx="12">
                  <c:v>379.24121795867796</c:v>
                </c:pt>
                <c:pt idx="13">
                  <c:v>445.08170718761511</c:v>
                </c:pt>
                <c:pt idx="14">
                  <c:v>516.18943555486715</c:v>
                </c:pt>
                <c:pt idx="15">
                  <c:v>592.56440306043442</c:v>
                </c:pt>
                <c:pt idx="16">
                  <c:v>674.20660970431641</c:v>
                </c:pt>
                <c:pt idx="17">
                  <c:v>761.11605548651323</c:v>
                </c:pt>
                <c:pt idx="18">
                  <c:v>853.29274040702535</c:v>
                </c:pt>
                <c:pt idx="19">
                  <c:v>950.73666446585219</c:v>
                </c:pt>
                <c:pt idx="20">
                  <c:v>1053.4478276629943</c:v>
                </c:pt>
                <c:pt idx="21">
                  <c:v>1161.4262299984514</c:v>
                </c:pt>
                <c:pt idx="22">
                  <c:v>1274.6718714722233</c:v>
                </c:pt>
                <c:pt idx="23">
                  <c:v>1393.18475208431</c:v>
                </c:pt>
                <c:pt idx="24">
                  <c:v>1516.9648718347119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07-4CD3-9562-9B117FAD7C55}"/>
            </c:ext>
          </c:extLst>
        </c:ser>
        <c:ser>
          <c:idx val="1"/>
          <c:order val="1"/>
          <c:tx>
            <c:strRef>
              <c:f>Control!$B$21</c:f>
              <c:strCache>
                <c:ptCount val="1"/>
                <c:pt idx="0">
                  <c:v>Testing speed [m/s]</c:v>
                </c:pt>
              </c:strCache>
            </c:strRef>
          </c:tx>
          <c:xVal>
            <c:numRef>
              <c:f>Control!$C$21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Control!#REF!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07-4CD3-9562-9B117FAD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03544"/>
        <c:axId val="2083081064"/>
      </c:scatterChart>
      <c:valAx>
        <c:axId val="208310354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Speed [m/s]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83081064"/>
        <c:crosses val="autoZero"/>
        <c:crossBetween val="midCat"/>
      </c:valAx>
      <c:valAx>
        <c:axId val="208308106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Pressure Loss [kPa]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083103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F284FD-5FAD-4119-94BD-65D344A40283}">
  <sheetPr codeName="Gráfico4">
    <tabColor rgb="FF00B050"/>
  </sheetPr>
  <sheetViews>
    <sheetView zoomScale="13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021E83-0445-4FC2-92CA-7AB421C68B2C}">
  <sheetPr codeName="Chart1"/>
  <sheetViews>
    <sheetView zoomScale="80" workbookViewId="0" zoomToFit="1"/>
  </sheetViews>
  <pageMargins left="0.25" right="0.25" top="0.75" bottom="0.75" header="0.3" footer="0.3"/>
  <pageSetup paperSize="8" orientation="landscape" horizontalDpi="30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wmf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14</xdr:row>
      <xdr:rowOff>53340</xdr:rowOff>
    </xdr:from>
    <xdr:to>
      <xdr:col>13</xdr:col>
      <xdr:colOff>281940</xdr:colOff>
      <xdr:row>31</xdr:row>
      <xdr:rowOff>167640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3253740" y="2853690"/>
          <a:ext cx="5981700" cy="3514725"/>
          <a:chOff x="3307976" y="2545976"/>
          <a:chExt cx="6149790" cy="3469343"/>
        </a:xfrm>
      </xdr:grpSpPr>
      <xdr:grpSp>
        <xdr:nvGrpSpPr>
          <xdr:cNvPr id="3" name="3 Grupo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>
            <a:grpSpLocks/>
          </xdr:cNvGrpSpPr>
        </xdr:nvGrpSpPr>
        <xdr:grpSpPr bwMode="auto">
          <a:xfrm>
            <a:off x="3451860" y="2689860"/>
            <a:ext cx="5775960" cy="3101340"/>
            <a:chOff x="0" y="0"/>
            <a:chExt cx="4789714" cy="2650672"/>
          </a:xfrm>
        </xdr:grpSpPr>
        <xdr:pic>
          <xdr:nvPicPr>
            <xdr:cNvPr id="11" name="20 Imagen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4789714" cy="265067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grpSp>
          <xdr:nvGrpSpPr>
            <xdr:cNvPr id="12" name="2 Grupo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3189" y="312610"/>
              <a:ext cx="4448495" cy="2097092"/>
              <a:chOff x="3317" y="-3076"/>
              <a:chExt cx="4448495" cy="2097092"/>
            </a:xfrm>
          </xdr:grpSpPr>
          <xdr:sp macro="" textlink="">
            <xdr:nvSpPr>
              <xdr:cNvPr id="13" name="CuadroTexto 11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118930" y="-3939"/>
                <a:ext cx="742122" cy="227094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n-GB" sz="1000" kern="1200">
                    <a:solidFill>
                      <a:srgbClr val="000000"/>
                    </a:solidFill>
                    <a:effectLst/>
                    <a:latin typeface="Calibri"/>
                    <a:ea typeface="MS Mincho"/>
                    <a:cs typeface="Times New Roman"/>
                  </a:rPr>
                  <a:t>Corner </a:t>
                </a:r>
                <a:r>
                  <a:rPr lang="es-ES" sz="1000" kern="1200">
                    <a:solidFill>
                      <a:srgbClr val="000000"/>
                    </a:solidFill>
                    <a:effectLst/>
                    <a:latin typeface="Calibri"/>
                    <a:ea typeface="MS Mincho"/>
                    <a:cs typeface="Times New Roman"/>
                  </a:rPr>
                  <a:t>2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14" name="CuadroTexto 1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1146484" y="-3939"/>
                <a:ext cx="697722" cy="259536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Diffusor 3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15" name="CuadroTexto 10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4757" y="813600"/>
                <a:ext cx="697722" cy="21411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n-GB" sz="1000" kern="1200">
                    <a:solidFill>
                      <a:srgbClr val="000000"/>
                    </a:solidFill>
                    <a:effectLst/>
                    <a:latin typeface="Calibri"/>
                    <a:ea typeface="MS Mincho"/>
                    <a:cs typeface="Times New Roman"/>
                  </a:rPr>
                  <a:t>Diffusor 2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16" name="CuadroTexto 1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2009121" y="-3939"/>
                <a:ext cx="551835" cy="415258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 algn="ctr"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Power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  <a:p>
                <a:pPr algn="ctr"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Plant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17" name="CuadroTexto 1">
                <a:extLst>
                  <a:ext uri="{FF2B5EF4-FFF2-40B4-BE49-F238E27FC236}">
                    <a16:creationId xmlns:a16="http://schemas.microsoft.com/office/drawing/2014/main" id="{00000000-0008-0000-0200-000011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2738558" y="-3939"/>
                <a:ext cx="697722" cy="21411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Diffusor 4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18" name="CuadroTexto 1">
                <a:extLst>
                  <a:ext uri="{FF2B5EF4-FFF2-40B4-BE49-F238E27FC236}">
                    <a16:creationId xmlns:a16="http://schemas.microsoft.com/office/drawing/2014/main" id="{00000000-0008-0000-0200-000012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3823198" y="-3939"/>
                <a:ext cx="627950" cy="21411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Corner</a:t>
                </a:r>
                <a:r>
                  <a:rPr lang="es-ES" sz="1000" kern="1200">
                    <a:effectLst/>
                    <a:latin typeface="Calibri"/>
                    <a:ea typeface="MS Mincho"/>
                    <a:cs typeface="Times New Roman"/>
                  </a:rPr>
                  <a:t> 3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19" name="CuadroTexto 1">
                <a:extLst>
                  <a:ext uri="{FF2B5EF4-FFF2-40B4-BE49-F238E27FC236}">
                    <a16:creationId xmlns:a16="http://schemas.microsoft.com/office/drawing/2014/main" id="{00000000-0008-0000-0200-000013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3823198" y="1741441"/>
                <a:ext cx="627950" cy="21411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Corner</a:t>
                </a:r>
                <a:r>
                  <a:rPr lang="es-ES" sz="1000" kern="1200">
                    <a:effectLst/>
                    <a:latin typeface="Calibri"/>
                    <a:ea typeface="MS Mincho"/>
                    <a:cs typeface="Times New Roman"/>
                  </a:rPr>
                  <a:t> 4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20" name="CuadroTexto 1">
                <a:extLst>
                  <a:ext uri="{FF2B5EF4-FFF2-40B4-BE49-F238E27FC236}">
                    <a16:creationId xmlns:a16="http://schemas.microsoft.com/office/drawing/2014/main" id="{00000000-0008-0000-0200-000014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3081076" y="1708999"/>
                <a:ext cx="685036" cy="382816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 algn="ctr"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Settling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  <a:p>
                <a:pPr algn="ctr"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Chamber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21" name="CuadroTexto 1">
                <a:extLst>
                  <a:ext uri="{FF2B5EF4-FFF2-40B4-BE49-F238E27FC236}">
                    <a16:creationId xmlns:a16="http://schemas.microsoft.com/office/drawing/2014/main" id="{00000000-0008-0000-0200-000015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2396040" y="1741441"/>
                <a:ext cx="786523" cy="21411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Contraction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22" name="CuadroTexto 1">
                <a:extLst>
                  <a:ext uri="{FF2B5EF4-FFF2-40B4-BE49-F238E27FC236}">
                    <a16:creationId xmlns:a16="http://schemas.microsoft.com/office/drawing/2014/main" id="{00000000-0008-0000-0200-000016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1565117" y="1741441"/>
                <a:ext cx="888010" cy="21411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s-ES" sz="1000" kern="1200">
                    <a:effectLst/>
                    <a:latin typeface="Calibri"/>
                    <a:ea typeface="MS Mincho"/>
                    <a:cs typeface="Times New Roman"/>
                  </a:rPr>
                  <a:t>Test </a:t>
                </a: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Chamber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23" name="CuadroTexto 1">
                <a:extLst>
                  <a:ext uri="{FF2B5EF4-FFF2-40B4-BE49-F238E27FC236}">
                    <a16:creationId xmlns:a16="http://schemas.microsoft.com/office/drawing/2014/main" id="{00000000-0008-0000-0200-000017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803966" y="1741441"/>
                <a:ext cx="805552" cy="21411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Diffusor 1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  <xdr:sp macro="" textlink="">
            <xdr:nvSpPr>
              <xdr:cNvPr id="24" name="CuadroTexto 1">
                <a:extLst>
                  <a:ext uri="{FF2B5EF4-FFF2-40B4-BE49-F238E27FC236}">
                    <a16:creationId xmlns:a16="http://schemas.microsoft.com/office/drawing/2014/main" id="{00000000-0008-0000-0200-00001800000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61843" y="1741441"/>
                <a:ext cx="634293" cy="21411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/>
              <a:p>
                <a:pPr>
                  <a:spcAft>
                    <a:spcPts val="0"/>
                  </a:spcAft>
                </a:pPr>
                <a:r>
                  <a:rPr lang="en-GB" sz="1000" kern="1200">
                    <a:effectLst/>
                    <a:latin typeface="Calibri"/>
                    <a:ea typeface="MS Mincho"/>
                    <a:cs typeface="Times New Roman"/>
                  </a:rPr>
                  <a:t>Corner</a:t>
                </a:r>
                <a:r>
                  <a:rPr lang="es-ES" sz="1000" kern="1200">
                    <a:effectLst/>
                    <a:latin typeface="Calibri"/>
                    <a:ea typeface="MS Mincho"/>
                    <a:cs typeface="Times New Roman"/>
                  </a:rPr>
                  <a:t> 1</a:t>
                </a:r>
                <a:endParaRPr lang="es-ES" sz="1000">
                  <a:effectLst/>
                  <a:latin typeface="Times"/>
                  <a:ea typeface="MS Mincho"/>
                  <a:cs typeface="Times New Roman"/>
                </a:endParaRPr>
              </a:p>
            </xdr:txBody>
          </xdr:sp>
        </xdr:grpSp>
      </xdr:grp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5334959" y="4777895"/>
            <a:ext cx="1193243" cy="956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FF0000"/>
                </a:solidFill>
              </a:rPr>
              <a:t>D	</a:t>
            </a:r>
            <a:r>
              <a:rPr lang="es-ES" sz="1100" b="1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C</a:t>
            </a:r>
            <a:endParaRPr lang="es-ES">
              <a:solidFill>
                <a:srgbClr val="FF0000"/>
              </a:solidFill>
              <a:effectLst/>
            </a:endParaRPr>
          </a:p>
          <a:p>
            <a:endParaRPr lang="es-ES" sz="1100" b="1">
              <a:solidFill>
                <a:srgbClr val="FF0000"/>
              </a:solidFill>
            </a:endParaRPr>
          </a:p>
          <a:p>
            <a:endParaRPr lang="es-ES" sz="1100" b="1">
              <a:solidFill>
                <a:srgbClr val="FF0000"/>
              </a:solidFill>
            </a:endParaRPr>
          </a:p>
          <a:p>
            <a:endParaRPr lang="es-ES" sz="1100" b="1">
              <a:solidFill>
                <a:srgbClr val="FF0000"/>
              </a:solidFill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FF0000"/>
                </a:solidFill>
              </a:rPr>
              <a:t>A</a:t>
            </a:r>
            <a:r>
              <a:rPr lang="es-ES" sz="1100" b="1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	B</a:t>
            </a:r>
            <a:endParaRPr lang="es-ES">
              <a:solidFill>
                <a:srgbClr val="FF0000"/>
              </a:solidFill>
              <a:effectLst/>
            </a:endParaRPr>
          </a:p>
        </xdr:txBody>
      </xdr:sp>
      <xdr:sp macro="" textlink="">
        <xdr:nvSpPr>
          <xdr:cNvPr id="5" name="28 CuadroTexto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5916282" y="2545976"/>
            <a:ext cx="764899" cy="1541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chemeClr val="bg1">
                    <a:lumMod val="50000"/>
                  </a:schemeClr>
                </a:solidFill>
              </a:rPr>
              <a:t>D</a:t>
            </a:r>
            <a:r>
              <a:rPr lang="es-ES" sz="1100" b="1" baseline="0">
                <a:solidFill>
                  <a:schemeClr val="bg1">
                    <a:lumMod val="50000"/>
                  </a:schemeClr>
                </a:solidFill>
              </a:rPr>
              <a:t>            </a:t>
            </a:r>
            <a:r>
              <a:rPr lang="es-ES" sz="11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C</a:t>
            </a:r>
            <a:endParaRPr lang="es-ES">
              <a:solidFill>
                <a:schemeClr val="bg1">
                  <a:lumMod val="50000"/>
                </a:schemeClr>
              </a:solidFill>
              <a:effectLst/>
            </a:endParaRPr>
          </a:p>
          <a:p>
            <a:endParaRPr lang="es-ES" sz="1100" b="1">
              <a:solidFill>
                <a:schemeClr val="bg1">
                  <a:lumMod val="50000"/>
                </a:schemeClr>
              </a:solidFill>
            </a:endParaRPr>
          </a:p>
          <a:p>
            <a:endParaRPr lang="es-ES" sz="1100" b="1">
              <a:solidFill>
                <a:schemeClr val="bg1">
                  <a:lumMod val="50000"/>
                </a:schemeClr>
              </a:solidFill>
            </a:endParaRPr>
          </a:p>
          <a:p>
            <a:endParaRPr lang="es-ES" sz="1100" b="1">
              <a:solidFill>
                <a:schemeClr val="bg1">
                  <a:lumMod val="50000"/>
                </a:schemeClr>
              </a:solidFill>
            </a:endParaRPr>
          </a:p>
          <a:p>
            <a:endParaRPr lang="es-ES" sz="1100" b="1">
              <a:solidFill>
                <a:schemeClr val="bg1">
                  <a:lumMod val="50000"/>
                </a:schemeClr>
              </a:solidFill>
            </a:endParaRPr>
          </a:p>
          <a:p>
            <a:endParaRPr lang="es-ES" sz="1100" b="1">
              <a:solidFill>
                <a:schemeClr val="bg1">
                  <a:lumMod val="50000"/>
                </a:schemeClr>
              </a:solidFill>
            </a:endParaRPr>
          </a:p>
          <a:p>
            <a:endParaRPr lang="es-ES" sz="1100" b="1">
              <a:solidFill>
                <a:schemeClr val="bg1">
                  <a:lumMod val="50000"/>
                </a:schemeClr>
              </a:solidFill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chemeClr val="bg1">
                    <a:lumMod val="50000"/>
                  </a:schemeClr>
                </a:solidFill>
              </a:rPr>
              <a:t>A</a:t>
            </a:r>
            <a:r>
              <a:rPr lang="es-ES" sz="1100" b="1" baseline="0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           </a:t>
            </a:r>
            <a:r>
              <a:rPr lang="es-ES" sz="11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B</a:t>
            </a:r>
            <a:endParaRPr lang="es-ES">
              <a:solidFill>
                <a:schemeClr val="bg1">
                  <a:lumMod val="50000"/>
                </a:schemeClr>
              </a:solidFill>
              <a:effectLst/>
            </a:endParaRPr>
          </a:p>
        </xdr:txBody>
      </xdr:sp>
      <xdr:sp macro="" textlink="">
        <xdr:nvSpPr>
          <xdr:cNvPr id="6" name="29 CuadroTexto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4386484" y="2545976"/>
            <a:ext cx="1805162" cy="15259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B050"/>
                </a:solidFill>
              </a:rPr>
              <a:t>D	</a:t>
            </a:r>
            <a:r>
              <a:rPr lang="es-ES" sz="1100" b="1" baseline="0">
                <a:solidFill>
                  <a:srgbClr val="00B050"/>
                </a:solidFill>
              </a:rPr>
              <a:t>               </a:t>
            </a:r>
            <a:r>
              <a:rPr lang="es-ES" sz="1100" b="1">
                <a:solidFill>
                  <a:srgbClr val="00B050"/>
                </a:solidFill>
                <a:effectLst/>
                <a:latin typeface="+mn-lt"/>
                <a:ea typeface="+mn-ea"/>
                <a:cs typeface="+mn-cs"/>
              </a:rPr>
              <a:t>C</a:t>
            </a:r>
            <a:endParaRPr lang="es-ES">
              <a:solidFill>
                <a:srgbClr val="00B050"/>
              </a:solidFill>
              <a:effectLst/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B050"/>
                </a:solidFill>
              </a:rPr>
              <a:t>A</a:t>
            </a:r>
            <a:r>
              <a:rPr lang="es-ES" sz="1100" b="1">
                <a:solidFill>
                  <a:srgbClr val="00B050"/>
                </a:solidFill>
                <a:effectLst/>
                <a:latin typeface="+mn-lt"/>
                <a:ea typeface="+mn-ea"/>
                <a:cs typeface="+mn-cs"/>
              </a:rPr>
              <a:t>	               B</a:t>
            </a:r>
            <a:endParaRPr lang="es-ES">
              <a:solidFill>
                <a:srgbClr val="00B050"/>
              </a:solidFill>
              <a:effectLst/>
            </a:endParaRPr>
          </a:p>
        </xdr:txBody>
      </xdr:sp>
      <xdr:sp macro="" textlink="">
        <xdr:nvSpPr>
          <xdr:cNvPr id="7" name="30 CuadroTexto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 bwMode="auto">
          <a:xfrm>
            <a:off x="3307976" y="3684710"/>
            <a:ext cx="1185594" cy="11311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B050"/>
                </a:solidFill>
              </a:rPr>
              <a:t>D	</a:t>
            </a:r>
            <a:r>
              <a:rPr lang="es-ES" sz="1100" b="1">
                <a:solidFill>
                  <a:srgbClr val="00B050"/>
                </a:solidFill>
                <a:effectLst/>
                <a:latin typeface="+mn-lt"/>
                <a:ea typeface="+mn-ea"/>
                <a:cs typeface="+mn-cs"/>
              </a:rPr>
              <a:t>C</a:t>
            </a:r>
            <a:endParaRPr lang="es-ES">
              <a:solidFill>
                <a:srgbClr val="00B050"/>
              </a:solidFill>
              <a:effectLst/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B050"/>
                </a:solidFill>
              </a:rPr>
              <a:t>A</a:t>
            </a:r>
            <a:r>
              <a:rPr lang="es-ES" sz="1100" b="1">
                <a:solidFill>
                  <a:srgbClr val="00B050"/>
                </a:solidFill>
                <a:effectLst/>
                <a:latin typeface="+mn-lt"/>
                <a:ea typeface="+mn-ea"/>
                <a:cs typeface="+mn-cs"/>
              </a:rPr>
              <a:t>	B</a:t>
            </a:r>
            <a:endParaRPr lang="es-ES">
              <a:solidFill>
                <a:srgbClr val="00B050"/>
              </a:solidFill>
              <a:effectLst/>
            </a:endParaRPr>
          </a:p>
        </xdr:txBody>
      </xdr:sp>
      <xdr:sp macro="" textlink="">
        <xdr:nvSpPr>
          <xdr:cNvPr id="8" name="31 CuadroTexto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 bwMode="auto">
          <a:xfrm>
            <a:off x="3338572" y="4694388"/>
            <a:ext cx="1277382" cy="11311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ts val="8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70C0"/>
                </a:solidFill>
              </a:rPr>
              <a:t>D</a:t>
            </a:r>
            <a:r>
              <a:rPr lang="es-ES" sz="1100" b="1" baseline="0">
                <a:solidFill>
                  <a:srgbClr val="0070C0"/>
                </a:solidFill>
              </a:rPr>
              <a:t>                       </a:t>
            </a:r>
            <a:r>
              <a:rPr lang="es-ES" sz="1100" b="1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E</a:t>
            </a:r>
            <a:endParaRPr lang="es-ES">
              <a:solidFill>
                <a:srgbClr val="0070C0"/>
              </a:solidFill>
              <a:effectLst/>
            </a:endParaRPr>
          </a:p>
          <a:p>
            <a:pPr marL="0" marR="0" indent="0" defTabSz="914400" eaLnBrk="1" fontAlgn="auto" latinLnBrk="0" hangingPunct="1">
              <a:lnSpc>
                <a:spcPts val="6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	C</a:t>
            </a:r>
            <a:endParaRPr lang="es-ES">
              <a:solidFill>
                <a:srgbClr val="0070C0"/>
              </a:solidFill>
              <a:effectLst/>
            </a:endParaRPr>
          </a:p>
          <a:p>
            <a:pPr>
              <a:lnSpc>
                <a:spcPts val="800"/>
              </a:lnSpc>
            </a:pPr>
            <a:r>
              <a:rPr lang="es-ES" sz="1100" b="1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                      </a:t>
            </a:r>
            <a:r>
              <a:rPr lang="es-E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F  </a:t>
            </a:r>
            <a:endParaRPr lang="es-ES" sz="1100" b="1">
              <a:solidFill>
                <a:srgbClr val="0070C0"/>
              </a:solidFill>
            </a:endParaRPr>
          </a:p>
          <a:p>
            <a:r>
              <a:rPr lang="es-ES" sz="1100" b="1">
                <a:solidFill>
                  <a:srgbClr val="0070C0"/>
                </a:solidFill>
              </a:rPr>
              <a:t>	</a:t>
            </a:r>
          </a:p>
          <a:p>
            <a:endParaRPr lang="es-ES" sz="1100" b="1">
              <a:solidFill>
                <a:srgbClr val="0070C0"/>
              </a:solidFill>
            </a:endParaRPr>
          </a:p>
          <a:p>
            <a:endParaRPr lang="es-ES" sz="1100" b="1">
              <a:solidFill>
                <a:srgbClr val="0070C0"/>
              </a:solidFill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70C0"/>
                </a:solidFill>
              </a:rPr>
              <a:t>A	</a:t>
            </a:r>
            <a:r>
              <a:rPr lang="es-ES" sz="1100" b="1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B</a:t>
            </a:r>
            <a:endParaRPr lang="es-ES">
              <a:solidFill>
                <a:srgbClr val="0070C0"/>
              </a:solidFill>
              <a:effectLst/>
            </a:endParaRPr>
          </a:p>
        </xdr:txBody>
      </xdr:sp>
      <xdr:sp macro="" textlink="">
        <xdr:nvSpPr>
          <xdr:cNvPr id="9" name="27 CuadroTexto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 bwMode="auto">
          <a:xfrm>
            <a:off x="4348239" y="4633655"/>
            <a:ext cx="1185594" cy="13133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B050"/>
                </a:solidFill>
              </a:rPr>
              <a:t>D	</a:t>
            </a:r>
            <a:r>
              <a:rPr lang="es-ES" sz="1100" b="1">
                <a:solidFill>
                  <a:srgbClr val="00B050"/>
                </a:solidFill>
                <a:effectLst/>
                <a:latin typeface="+mn-lt"/>
                <a:ea typeface="+mn-ea"/>
                <a:cs typeface="+mn-cs"/>
              </a:rPr>
              <a:t>C</a:t>
            </a:r>
            <a:endParaRPr lang="es-ES">
              <a:solidFill>
                <a:srgbClr val="00B050"/>
              </a:solidFill>
              <a:effectLst/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endParaRPr lang="es-ES" sz="1100" b="1">
              <a:solidFill>
                <a:srgbClr val="00B050"/>
              </a:solidFill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B050"/>
                </a:solidFill>
              </a:rPr>
              <a:t>A</a:t>
            </a:r>
            <a:r>
              <a:rPr lang="es-ES" sz="1100" b="1">
                <a:solidFill>
                  <a:srgbClr val="00B050"/>
                </a:solidFill>
                <a:effectLst/>
                <a:latin typeface="+mn-lt"/>
                <a:ea typeface="+mn-ea"/>
                <a:cs typeface="+mn-cs"/>
              </a:rPr>
              <a:t>	B</a:t>
            </a:r>
            <a:endParaRPr lang="es-ES">
              <a:solidFill>
                <a:srgbClr val="00B050"/>
              </a:solidFill>
              <a:effectLst/>
            </a:endParaRPr>
          </a:p>
        </xdr:txBody>
      </xdr:sp>
      <xdr:sp macro="" textlink="">
        <xdr:nvSpPr>
          <xdr:cNvPr id="10" name="32 CuadroTexto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 bwMode="auto">
          <a:xfrm>
            <a:off x="7782637" y="4398317"/>
            <a:ext cx="1675129" cy="16170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indent="0" defTabSz="914400" eaLnBrk="1" fontAlgn="auto" latinLnBrk="0" hangingPunct="1">
              <a:lnSpc>
                <a:spcPts val="8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 baseline="0">
                <a:solidFill>
                  <a:srgbClr val="0070C0"/>
                </a:solidFill>
              </a:rPr>
              <a:t>      </a:t>
            </a:r>
            <a:r>
              <a:rPr lang="es-ES" sz="1100" b="1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E	</a:t>
            </a:r>
            <a:r>
              <a:rPr lang="es-ES" sz="1100" b="1" baseline="0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              </a:t>
            </a:r>
            <a:r>
              <a:rPr lang="es-ES" sz="1100" b="1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C</a:t>
            </a:r>
            <a:endParaRPr lang="es-ES">
              <a:solidFill>
                <a:srgbClr val="0070C0"/>
              </a:solidFill>
              <a:effectLst/>
            </a:endParaRPr>
          </a:p>
          <a:p>
            <a:pPr marL="0" marR="0" indent="0" defTabSz="914400" eaLnBrk="1" fontAlgn="auto" latinLnBrk="0" hangingPunct="1">
              <a:lnSpc>
                <a:spcPts val="8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>
              <a:solidFill>
                <a:srgbClr val="0070C0"/>
              </a:solidFill>
              <a:effectLst/>
            </a:endParaRPr>
          </a:p>
          <a:p>
            <a:pPr marL="0" marR="0" indent="0" defTabSz="914400" eaLnBrk="1" fontAlgn="auto" latinLnBrk="0" hangingPunct="1">
              <a:lnSpc>
                <a:spcPts val="6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D</a:t>
            </a:r>
            <a:r>
              <a:rPr lang="es-ES" sz="1100" b="1" baseline="0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     </a:t>
            </a:r>
            <a:r>
              <a:rPr lang="es-ES" sz="1100" b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11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F  </a:t>
            </a:r>
            <a:endParaRPr lang="es-ES" sz="1100" b="1">
              <a:solidFill>
                <a:sysClr val="windowText" lastClr="000000"/>
              </a:solidFill>
            </a:endParaRPr>
          </a:p>
          <a:p>
            <a:r>
              <a:rPr lang="es-ES" sz="1100" b="1">
                <a:solidFill>
                  <a:srgbClr val="0070C0"/>
                </a:solidFill>
              </a:rPr>
              <a:t>	</a:t>
            </a:r>
          </a:p>
          <a:p>
            <a:endParaRPr lang="es-ES" sz="1100" b="1">
              <a:solidFill>
                <a:srgbClr val="0070C0"/>
              </a:solidFill>
            </a:endParaRPr>
          </a:p>
          <a:p>
            <a:endParaRPr lang="es-ES" sz="1100" b="1">
              <a:solidFill>
                <a:srgbClr val="0070C0"/>
              </a:solidFill>
            </a:endParaRPr>
          </a:p>
          <a:p>
            <a:endParaRPr lang="es-ES" sz="1100" b="1">
              <a:solidFill>
                <a:srgbClr val="0070C0"/>
              </a:solidFill>
            </a:endParaRPr>
          </a:p>
          <a:p>
            <a:endParaRPr lang="es-ES" sz="1100" b="1">
              <a:solidFill>
                <a:srgbClr val="0070C0"/>
              </a:solidFill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120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100" b="1">
                <a:solidFill>
                  <a:srgbClr val="0070C0"/>
                </a:solidFill>
              </a:rPr>
              <a:t>A	              </a:t>
            </a:r>
            <a:r>
              <a:rPr lang="es-ES" sz="1100" b="1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B</a:t>
            </a:r>
            <a:endParaRPr lang="es-ES">
              <a:solidFill>
                <a:srgbClr val="0070C0"/>
              </a:solidFill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30480</xdr:rowOff>
    </xdr:from>
    <xdr:to>
      <xdr:col>6</xdr:col>
      <xdr:colOff>777240</xdr:colOff>
      <xdr:row>12</xdr:row>
      <xdr:rowOff>91440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8575"/>
          <a:ext cx="2720340" cy="222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</xdr:colOff>
      <xdr:row>12</xdr:row>
      <xdr:rowOff>7620</xdr:rowOff>
    </xdr:from>
    <xdr:to>
      <xdr:col>6</xdr:col>
      <xdr:colOff>590550</xdr:colOff>
      <xdr:row>25</xdr:row>
      <xdr:rowOff>59055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333625"/>
          <a:ext cx="240030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26</xdr:row>
      <xdr:rowOff>0</xdr:rowOff>
    </xdr:from>
    <xdr:to>
      <xdr:col>7</xdr:col>
      <xdr:colOff>19050</xdr:colOff>
      <xdr:row>41</xdr:row>
      <xdr:rowOff>15240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5133975"/>
          <a:ext cx="4278630" cy="280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40</xdr:row>
      <xdr:rowOff>7620</xdr:rowOff>
    </xdr:from>
    <xdr:to>
      <xdr:col>6</xdr:col>
      <xdr:colOff>518160</xdr:colOff>
      <xdr:row>55</xdr:row>
      <xdr:rowOff>60960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792480</xdr:colOff>
      <xdr:row>40</xdr:row>
      <xdr:rowOff>7620</xdr:rowOff>
    </xdr:from>
    <xdr:to>
      <xdr:col>11</xdr:col>
      <xdr:colOff>624840</xdr:colOff>
      <xdr:row>55</xdr:row>
      <xdr:rowOff>60960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464820</xdr:colOff>
      <xdr:row>0</xdr:row>
      <xdr:rowOff>30480</xdr:rowOff>
    </xdr:from>
    <xdr:to>
      <xdr:col>7</xdr:col>
      <xdr:colOff>306705</xdr:colOff>
      <xdr:row>16</xdr:row>
      <xdr:rowOff>135255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30480"/>
          <a:ext cx="4069080" cy="326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0</xdr:row>
      <xdr:rowOff>0</xdr:rowOff>
    </xdr:from>
    <xdr:to>
      <xdr:col>8</xdr:col>
      <xdr:colOff>2244090</xdr:colOff>
      <xdr:row>26</xdr:row>
      <xdr:rowOff>129540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0"/>
          <a:ext cx="5368290" cy="5587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4549437" cy="92154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.jarzabek/Dropbox/Akademeia/Uczniowie/Jan%20Gierszewski/wind_tunnel/wind_tunnel_op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ur.jarzabek/Dropbox/Akademeia/Uczniowie/Jan%20Gierszewski/wind_tunnel/wind_tunnel_schoo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imensioning"/>
      <sheetName val="Coordinates"/>
      <sheetName val="CompleteWT"/>
      <sheetName val="SectionsWT"/>
      <sheetName val="Constant Sections"/>
      <sheetName val="Diffusers"/>
      <sheetName val="Contraction"/>
      <sheetName val="Corners"/>
      <sheetName val="TOTAL P.Loss"/>
      <sheetName val="Pressure Loss"/>
      <sheetName val="CostEstimation"/>
      <sheetName val="Refrigeration"/>
    </sheetNames>
    <sheetDataSet>
      <sheetData sheetId="0"/>
      <sheetData sheetId="1">
        <row r="3">
          <cell r="A3" t="str">
            <v>Test Section</v>
          </cell>
        </row>
        <row r="7">
          <cell r="A7" t="str">
            <v>Contraction</v>
          </cell>
        </row>
        <row r="11">
          <cell r="A11" t="str">
            <v>Settling Chamber</v>
          </cell>
        </row>
        <row r="15">
          <cell r="A15" t="str">
            <v>Diffuser 1</v>
          </cell>
        </row>
        <row r="42">
          <cell r="A42" t="str">
            <v>Power Plant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imensioning"/>
      <sheetName val="Coordinates"/>
      <sheetName val="CompleteWT"/>
      <sheetName val="SectionsWT"/>
      <sheetName val="Constant Sections"/>
      <sheetName val="Diffusers"/>
      <sheetName val="Contraction"/>
      <sheetName val="Corners"/>
      <sheetName val="TOTAL P.Loss"/>
      <sheetName val="Pressure Loss"/>
      <sheetName val="CostEstimation"/>
      <sheetName val="Refrigeration"/>
      <sheetName val="Control (2)"/>
    </sheetNames>
    <sheetDataSet>
      <sheetData sheetId="0"/>
      <sheetData sheetId="1">
        <row r="7">
          <cell r="E7">
            <v>0.89806452455433261</v>
          </cell>
        </row>
        <row r="8">
          <cell r="C8">
            <v>0.67082039324993692</v>
          </cell>
          <cell r="D8">
            <v>0.3</v>
          </cell>
        </row>
      </sheetData>
      <sheetData sheetId="2"/>
      <sheetData sheetId="3"/>
      <sheetData sheetId="4"/>
      <sheetData sheetId="5"/>
      <sheetData sheetId="6"/>
      <sheetData sheetId="7">
        <row r="3">
          <cell r="B3">
            <v>0.09</v>
          </cell>
        </row>
        <row r="15">
          <cell r="B15">
            <v>5.6934236349029908E-3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0685-786F-4E0B-96D5-9DB5A6A61534}">
  <sheetPr codeName="Sheet1"/>
  <dimension ref="A1:J45"/>
  <sheetViews>
    <sheetView workbookViewId="0">
      <selection activeCell="H46" sqref="H45:H46"/>
    </sheetView>
  </sheetViews>
  <sheetFormatPr defaultRowHeight="15"/>
  <cols>
    <col min="1" max="1" width="8.85546875" customWidth="1"/>
    <col min="2" max="2" width="35.28515625" customWidth="1"/>
    <col min="4" max="4" width="8.85546875" customWidth="1"/>
    <col min="7" max="7" width="41.28515625" customWidth="1"/>
    <col min="8" max="8" width="16.140625" customWidth="1"/>
    <col min="9" max="9" width="14.28515625" customWidth="1"/>
    <col min="10" max="10" width="32.7109375" customWidth="1"/>
  </cols>
  <sheetData>
    <row r="1" spans="1:10" ht="15.75">
      <c r="A1" s="43"/>
      <c r="B1" s="129" t="s">
        <v>60</v>
      </c>
      <c r="C1" s="130"/>
      <c r="D1" s="130"/>
      <c r="E1" s="130"/>
      <c r="F1" s="43"/>
      <c r="G1" s="127" t="s">
        <v>66</v>
      </c>
      <c r="H1" s="128"/>
      <c r="I1" s="128"/>
      <c r="J1" s="128"/>
    </row>
    <row r="2" spans="1:10" ht="15.75">
      <c r="A2" s="43"/>
      <c r="B2" s="49" t="s">
        <v>61</v>
      </c>
      <c r="C2" s="103">
        <v>0.3</v>
      </c>
      <c r="D2" s="50"/>
      <c r="E2" s="48"/>
      <c r="F2" s="43"/>
      <c r="G2" s="1" t="s">
        <v>142</v>
      </c>
      <c r="H2" s="47">
        <f>Dimensioning!E24</f>
        <v>4.3828088173533519</v>
      </c>
      <c r="I2" s="45"/>
      <c r="J2" s="43"/>
    </row>
    <row r="3" spans="1:10" ht="15.75">
      <c r="A3" s="43"/>
      <c r="B3" s="49" t="s">
        <v>62</v>
      </c>
      <c r="C3" s="103">
        <v>0.3</v>
      </c>
      <c r="D3" s="51"/>
      <c r="E3" s="43"/>
      <c r="F3" s="43"/>
      <c r="G3" s="1" t="s">
        <v>141</v>
      </c>
      <c r="H3" s="47">
        <f>Dimensioning!E25</f>
        <v>0.67082039324993692</v>
      </c>
      <c r="I3" s="45"/>
      <c r="J3" s="43"/>
    </row>
    <row r="4" spans="1:10" ht="15.75">
      <c r="A4" s="43"/>
      <c r="B4" s="49" t="s">
        <v>63</v>
      </c>
      <c r="C4" s="104">
        <v>0.6</v>
      </c>
      <c r="D4" s="51"/>
      <c r="E4" s="43"/>
      <c r="F4" s="43"/>
      <c r="G4" s="1" t="s">
        <v>68</v>
      </c>
      <c r="H4" s="47">
        <f>H2/H3</f>
        <v>6.5335056319917033</v>
      </c>
      <c r="I4" s="45"/>
      <c r="J4" s="43"/>
    </row>
    <row r="5" spans="1:10" ht="15.75">
      <c r="A5" s="43"/>
      <c r="B5" s="43"/>
      <c r="C5" s="43"/>
      <c r="D5" s="43"/>
      <c r="E5" s="43"/>
      <c r="F5" s="43"/>
      <c r="G5" s="45"/>
      <c r="H5" s="111"/>
      <c r="I5" s="45"/>
      <c r="J5" s="43"/>
    </row>
    <row r="6" spans="1:10" ht="15.75">
      <c r="A6" s="43"/>
      <c r="B6" s="1" t="s">
        <v>2</v>
      </c>
      <c r="C6" s="104">
        <v>5</v>
      </c>
      <c r="D6" s="50" t="str">
        <f>IF(OR(C6&lt;4,C6&gt;9),B32,"")</f>
        <v/>
      </c>
      <c r="E6" s="48" t="str">
        <f>IF(OR(C6&lt;4,C6&gt;9),B35,IF(AND(C6&gt;=4,C6&lt;8),B36,B37))</f>
        <v>acceptable</v>
      </c>
      <c r="F6" s="43"/>
      <c r="G6" s="131" t="s">
        <v>153</v>
      </c>
      <c r="H6" s="131"/>
      <c r="I6" s="131"/>
      <c r="J6" s="131"/>
    </row>
    <row r="7" spans="1:10" ht="15.75">
      <c r="A7" s="43"/>
      <c r="B7" s="1" t="s">
        <v>3</v>
      </c>
      <c r="C7" s="104">
        <v>12</v>
      </c>
      <c r="D7" s="50" t="str">
        <f>IF(OR(C7&lt;=11,C7&gt;=13),B32,"")</f>
        <v/>
      </c>
      <c r="E7" s="48" t="str">
        <f>IF(D7=B32,B35,"")</f>
        <v/>
      </c>
      <c r="F7" s="43"/>
      <c r="G7" s="115" t="s">
        <v>162</v>
      </c>
      <c r="H7" s="116">
        <f>TOTAL_PLoss!G14</f>
        <v>0.17199148206742765</v>
      </c>
      <c r="I7" s="1" t="str">
        <f>IF(H7&gt;0.3,$B$33,"")</f>
        <v/>
      </c>
      <c r="J7" s="48" t="str">
        <f>IF(I7=$B$33,"excesive pressure loss",IF(AND(H7&lt;=0.3,H7&gt;0.2),$B$36,IF(H7&lt;=0.2,B37,"")))</f>
        <v>accurate design</v>
      </c>
    </row>
    <row r="8" spans="1:10" ht="15.75">
      <c r="A8" s="43"/>
      <c r="B8" s="43"/>
      <c r="C8" s="43"/>
      <c r="D8" s="43"/>
      <c r="E8" s="43"/>
      <c r="F8" s="43"/>
      <c r="G8" s="48" t="s">
        <v>154</v>
      </c>
      <c r="H8" s="44">
        <f>TOTAL_PLoss!G9</f>
        <v>8.5916043147842694E-2</v>
      </c>
      <c r="I8" s="125">
        <f>H8/H7</f>
        <v>0.4995366172503829</v>
      </c>
      <c r="J8" s="48"/>
    </row>
    <row r="9" spans="1:10" ht="15.75">
      <c r="A9" s="43"/>
      <c r="B9" s="1" t="s">
        <v>64</v>
      </c>
      <c r="C9" s="104">
        <v>0.1</v>
      </c>
      <c r="D9" s="51"/>
      <c r="E9" s="43"/>
      <c r="F9" s="43"/>
      <c r="G9" s="43"/>
      <c r="H9" s="52"/>
      <c r="I9" s="45"/>
      <c r="J9" s="43"/>
    </row>
    <row r="10" spans="1:10" ht="15.75">
      <c r="A10" s="43"/>
      <c r="B10" s="43"/>
      <c r="C10" s="43"/>
      <c r="D10" s="43"/>
      <c r="E10" s="43"/>
      <c r="F10" s="43"/>
      <c r="G10" s="48" t="s">
        <v>158</v>
      </c>
      <c r="H10" s="48">
        <f>C2*C3</f>
        <v>0.09</v>
      </c>
      <c r="I10" s="45"/>
      <c r="J10" s="43"/>
    </row>
    <row r="11" spans="1:10" ht="15.75">
      <c r="A11" s="43"/>
      <c r="B11" s="1" t="s">
        <v>65</v>
      </c>
      <c r="C11" s="104">
        <v>3.5</v>
      </c>
      <c r="D11" s="1" t="str">
        <f>IF(C11&gt;3.5,$B$33,"")</f>
        <v/>
      </c>
      <c r="E11" s="48" t="str">
        <f>IF(D11=$B$33,$B$38,"")</f>
        <v/>
      </c>
      <c r="F11" s="43"/>
      <c r="G11" s="118" t="s">
        <v>159</v>
      </c>
      <c r="H11" s="122">
        <f>H10*C21</f>
        <v>2.6999999999999997</v>
      </c>
      <c r="I11" s="45"/>
      <c r="J11" s="43">
        <f>H11/4*60*60</f>
        <v>2429.9999999999995</v>
      </c>
    </row>
    <row r="12" spans="1:10" ht="15.75">
      <c r="A12" s="43"/>
      <c r="B12" s="1" t="s">
        <v>67</v>
      </c>
      <c r="C12" s="104">
        <v>7</v>
      </c>
      <c r="D12" s="51"/>
      <c r="E12" s="43"/>
      <c r="F12" s="43"/>
      <c r="G12" s="48" t="s">
        <v>157</v>
      </c>
      <c r="H12" s="112">
        <f>Dimensioning!C19*Dimensioning!C20</f>
        <v>0.31011868084800209</v>
      </c>
      <c r="I12" s="45"/>
      <c r="J12" s="43"/>
    </row>
    <row r="13" spans="1:10" ht="15.75">
      <c r="A13" s="43"/>
      <c r="B13" s="43"/>
      <c r="C13" s="43"/>
      <c r="D13" s="43"/>
      <c r="E13" s="43"/>
      <c r="F13" s="43"/>
      <c r="G13" s="48" t="s">
        <v>156</v>
      </c>
      <c r="H13" s="112">
        <f>H11/H12</f>
        <v>8.7063442699324067</v>
      </c>
      <c r="I13" s="45"/>
      <c r="J13" s="43"/>
    </row>
    <row r="14" spans="1:10" ht="15.75">
      <c r="A14" s="43"/>
      <c r="B14" s="1" t="s">
        <v>71</v>
      </c>
      <c r="C14" s="107">
        <v>2</v>
      </c>
      <c r="D14" s="43"/>
      <c r="E14" s="43"/>
      <c r="F14" s="43"/>
      <c r="G14" s="113" t="s">
        <v>161</v>
      </c>
      <c r="H14" s="112">
        <f>0.5*C23*C21^2</f>
        <v>551.25</v>
      </c>
      <c r="I14" s="45"/>
      <c r="J14" s="43"/>
    </row>
    <row r="15" spans="1:10" ht="15.75">
      <c r="A15" s="43"/>
      <c r="B15" s="1" t="s">
        <v>72</v>
      </c>
      <c r="C15" s="107">
        <v>2</v>
      </c>
      <c r="D15" s="51"/>
      <c r="E15" s="43"/>
      <c r="F15" s="43"/>
      <c r="G15" s="113" t="s">
        <v>155</v>
      </c>
      <c r="H15" s="114">
        <f>0.5*C23*H13^2</f>
        <v>46.427763709783221</v>
      </c>
      <c r="I15" s="45"/>
      <c r="J15" s="43"/>
    </row>
    <row r="16" spans="1:10" ht="15.75">
      <c r="A16" s="43"/>
      <c r="B16" s="1" t="s">
        <v>73</v>
      </c>
      <c r="C16" s="104">
        <f>Dimensioning!C19/Control!C14</f>
        <v>0.27844150231601705</v>
      </c>
      <c r="D16" s="43"/>
      <c r="E16" s="43"/>
      <c r="F16" s="43"/>
      <c r="G16" s="117" t="s">
        <v>160</v>
      </c>
      <c r="H16" s="116">
        <f>H15/H14</f>
        <v>8.42227006073165E-2</v>
      </c>
      <c r="I16" s="45"/>
      <c r="J16" s="43"/>
    </row>
    <row r="17" spans="1:10" ht="15.75">
      <c r="A17" s="43"/>
      <c r="B17" s="108" t="s">
        <v>74</v>
      </c>
      <c r="C17" s="109">
        <v>1.5</v>
      </c>
      <c r="D17" s="51"/>
      <c r="E17" s="46"/>
      <c r="F17" s="43"/>
      <c r="G17" s="45"/>
      <c r="H17" s="45"/>
      <c r="I17" s="45"/>
      <c r="J17" s="43"/>
    </row>
    <row r="18" spans="1:10" ht="15.75">
      <c r="A18" s="43"/>
      <c r="B18" s="1" t="s">
        <v>144</v>
      </c>
      <c r="C18" s="110">
        <v>0.7</v>
      </c>
      <c r="D18" s="51"/>
      <c r="E18" s="46"/>
      <c r="F18" s="43"/>
      <c r="G18" s="123" t="s">
        <v>69</v>
      </c>
      <c r="H18" s="124">
        <f>H7+H16</f>
        <v>0.25621418267474416</v>
      </c>
      <c r="I18" s="43"/>
      <c r="J18" s="43"/>
    </row>
    <row r="19" spans="1:10" ht="15.75">
      <c r="A19" s="43"/>
      <c r="B19" s="45"/>
      <c r="C19" s="51"/>
      <c r="D19" s="51"/>
      <c r="E19" s="46"/>
      <c r="F19" s="43"/>
      <c r="G19" s="118" t="s">
        <v>70</v>
      </c>
      <c r="H19" s="119">
        <f>H14*H18</f>
        <v>141.23806819945273</v>
      </c>
      <c r="I19" s="43"/>
      <c r="J19" s="43"/>
    </row>
    <row r="20" spans="1:10" ht="15.75">
      <c r="A20" s="43"/>
      <c r="B20" s="43"/>
      <c r="C20" s="43"/>
      <c r="D20" s="51"/>
      <c r="E20" s="43"/>
      <c r="F20" s="43"/>
      <c r="G20" s="120" t="s">
        <v>152</v>
      </c>
      <c r="H20" s="121">
        <f>H19*H11/C18/1000</f>
        <v>0.54477540591217488</v>
      </c>
      <c r="I20" s="43"/>
      <c r="J20" s="43"/>
    </row>
    <row r="21" spans="1:10" ht="15.75">
      <c r="A21" s="43"/>
      <c r="B21" s="1" t="s">
        <v>75</v>
      </c>
      <c r="C21" s="102">
        <v>30</v>
      </c>
      <c r="D21" s="52"/>
      <c r="E21" s="43"/>
      <c r="F21" s="43"/>
      <c r="G21" s="43"/>
      <c r="H21" s="43"/>
      <c r="I21" s="43"/>
      <c r="J21" s="43"/>
    </row>
    <row r="22" spans="1:10" ht="15.75">
      <c r="A22" s="43"/>
      <c r="B22" s="43"/>
      <c r="C22" s="43"/>
      <c r="D22" s="53"/>
      <c r="E22" s="43"/>
      <c r="F22" s="43"/>
      <c r="G22" s="43"/>
      <c r="H22" s="43"/>
      <c r="I22" s="43"/>
      <c r="J22" s="43"/>
    </row>
    <row r="23" spans="1:10" ht="17.25">
      <c r="A23" s="43"/>
      <c r="B23" s="1" t="s">
        <v>0</v>
      </c>
      <c r="C23" s="105">
        <v>1.2250000000000001</v>
      </c>
      <c r="D23" s="51"/>
      <c r="E23" s="43"/>
      <c r="F23" s="43"/>
      <c r="G23" s="43"/>
      <c r="H23" s="43"/>
      <c r="I23" s="43"/>
      <c r="J23" s="43"/>
    </row>
    <row r="24" spans="1:10" ht="17.25">
      <c r="A24" s="43"/>
      <c r="B24" s="2" t="s">
        <v>1</v>
      </c>
      <c r="C24" s="106">
        <v>1.566235500187687E-5</v>
      </c>
      <c r="D24" s="43"/>
      <c r="E24" s="43"/>
      <c r="F24" s="43"/>
      <c r="G24" s="43"/>
      <c r="H24" s="43"/>
      <c r="I24" s="43"/>
      <c r="J24" s="43"/>
    </row>
    <row r="25" spans="1:10">
      <c r="A25" s="43"/>
      <c r="B25" s="43"/>
      <c r="C25" s="43"/>
      <c r="D25" s="43"/>
      <c r="E25" s="43"/>
      <c r="F25" s="43"/>
      <c r="G25" s="43"/>
      <c r="H25" s="43"/>
      <c r="I25" s="43"/>
      <c r="J25" s="43"/>
    </row>
    <row r="26" spans="1:10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0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15.75" hidden="1">
      <c r="B31" s="101" t="s">
        <v>130</v>
      </c>
      <c r="G31" s="37"/>
      <c r="H31" s="37"/>
      <c r="I31" s="37"/>
    </row>
    <row r="32" spans="1:10" ht="15.75" hidden="1">
      <c r="B32" t="s">
        <v>131</v>
      </c>
      <c r="G32" s="37"/>
      <c r="H32" s="37"/>
      <c r="I32" s="37"/>
    </row>
    <row r="33" spans="2:9" ht="15.75" hidden="1">
      <c r="B33" t="s">
        <v>132</v>
      </c>
      <c r="G33" s="37"/>
      <c r="H33" s="37"/>
      <c r="I33" s="37"/>
    </row>
    <row r="34" spans="2:9" ht="15.75" hidden="1">
      <c r="G34" s="37"/>
      <c r="H34" s="37"/>
      <c r="I34" s="37"/>
    </row>
    <row r="35" spans="2:9" ht="15.75" hidden="1">
      <c r="B35" t="s">
        <v>133</v>
      </c>
      <c r="G35" s="37"/>
      <c r="H35" s="37"/>
      <c r="I35" s="37"/>
    </row>
    <row r="36" spans="2:9" ht="15.75" hidden="1">
      <c r="B36" t="s">
        <v>134</v>
      </c>
      <c r="G36" s="37"/>
      <c r="H36" s="37"/>
      <c r="I36" s="37"/>
    </row>
    <row r="37" spans="2:9" ht="15.75" hidden="1">
      <c r="B37" t="s">
        <v>135</v>
      </c>
      <c r="G37" s="37"/>
      <c r="H37" s="37"/>
      <c r="I37" s="37"/>
    </row>
    <row r="38" spans="2:9" ht="15.75" hidden="1">
      <c r="B38" t="s">
        <v>136</v>
      </c>
      <c r="G38" s="37"/>
      <c r="H38" s="37"/>
      <c r="I38" s="37"/>
    </row>
    <row r="39" spans="2:9" ht="15.75" hidden="1">
      <c r="B39" t="s">
        <v>137</v>
      </c>
      <c r="G39" s="37"/>
      <c r="H39" s="37"/>
      <c r="I39" s="37"/>
    </row>
    <row r="40" spans="2:9" ht="15.75" hidden="1">
      <c r="B40" t="s">
        <v>138</v>
      </c>
      <c r="G40" s="37"/>
      <c r="H40" s="37"/>
      <c r="I40" s="37"/>
    </row>
    <row r="41" spans="2:9" ht="15.75" hidden="1">
      <c r="B41" t="s">
        <v>139</v>
      </c>
      <c r="G41" s="37"/>
      <c r="H41" s="37"/>
      <c r="I41" s="37"/>
    </row>
    <row r="42" spans="2:9" ht="15.75">
      <c r="G42" s="37"/>
      <c r="H42" s="37"/>
      <c r="I42" s="37"/>
    </row>
    <row r="43" spans="2:9" ht="15.75">
      <c r="G43" s="37"/>
      <c r="H43" s="37"/>
      <c r="I43" s="37"/>
    </row>
    <row r="44" spans="2:9" ht="15.75">
      <c r="G44" s="37"/>
      <c r="H44" s="37"/>
      <c r="I44" s="37"/>
    </row>
    <row r="45" spans="2:9" ht="15.75">
      <c r="G45" s="37"/>
      <c r="H45" s="37"/>
      <c r="I45" s="37"/>
    </row>
  </sheetData>
  <mergeCells count="3">
    <mergeCell ref="G1:J1"/>
    <mergeCell ref="B1:E1"/>
    <mergeCell ref="G6:J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stopIfTrue="1" operator="beginsWith" id="{A1CE1958-3CA0-4E10-902F-0F0FDC8BFA86}">
            <xm:f>LEFT(D1,LEN("A"))="A"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beginsWith" priority="10" stopIfTrue="1" operator="beginsWith" id="{A8F1FC91-204B-492F-A2B0-D5407237A1B9}">
            <xm:f>LEFT(D1,LEN("W"))="W"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D1:D24</xm:sqref>
        </x14:conditionalFormatting>
        <x14:conditionalFormatting xmlns:xm="http://schemas.microsoft.com/office/excel/2006/main">
          <x14:cfRule type="beginsWith" priority="3" stopIfTrue="1" operator="beginsWith" id="{4AB07605-A5CD-4C5A-BE2F-7597C1EF5D7C}">
            <xm:f>LEFT(G17,LEN("A"))="A"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beginsWith" priority="4" stopIfTrue="1" operator="beginsWith" id="{3D3A1C2F-3017-46B6-BC30-B96A73D0799E}">
            <xm:f>LEFT(G17,LEN("W"))="W"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G17:H17</xm:sqref>
        </x14:conditionalFormatting>
        <x14:conditionalFormatting xmlns:xm="http://schemas.microsoft.com/office/excel/2006/main">
          <x14:cfRule type="beginsWith" priority="1" stopIfTrue="1" operator="beginsWith" id="{01A49B20-56AC-4B77-951A-F64D123B43C2}">
            <xm:f>LEFT(H19,LEN("A"))="A"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beginsWith" priority="2" stopIfTrue="1" operator="beginsWith" id="{F293E6E7-ADBE-4F26-BA82-8F565D6E049F}">
            <xm:f>LEFT(H19,LEN("W"))="W"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H19:H20</xm:sqref>
        </x14:conditionalFormatting>
        <x14:conditionalFormatting xmlns:xm="http://schemas.microsoft.com/office/excel/2006/main">
          <x14:cfRule type="beginsWith" priority="5" stopIfTrue="1" operator="beginsWith" id="{22FD072A-6A91-4BA0-A515-33C7B6D04210}">
            <xm:f>LEFT(C1,LEN("A"))="A"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beginsWith" priority="6" stopIfTrue="1" operator="beginsWith" id="{C535244A-C452-4B4F-A7FD-C98B5892932F}">
            <xm:f>LEFT(C1,LEN("W"))="W"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I1:I5 I7:I17 C19</xm:sqref>
        </x14:conditionalFormatting>
        <x14:conditionalFormatting xmlns:xm="http://schemas.microsoft.com/office/excel/2006/main">
          <x14:cfRule type="beginsWith" priority="7" stopIfTrue="1" operator="beginsWith" id="{9DEEEBE6-0A5D-4179-A0FE-8FB24C0FF969}">
            <xm:f>LEFT(D31,LEN("A"))="A"</xm:f>
            <x14:dxf>
              <font>
                <b/>
                <i val="0"/>
              </font>
              <fill>
                <patternFill>
                  <bgColor rgb="FFFFC000"/>
                </patternFill>
              </fill>
            </x14:dxf>
          </x14:cfRule>
          <x14:cfRule type="beginsWith" priority="8" stopIfTrue="1" operator="beginsWith" id="{1F533F12-0327-42CA-BA1A-111B09F7225A}">
            <xm:f>LEFT(D31,LEN("W"))="W"</xm:f>
            <x14:dxf>
              <font>
                <b/>
                <i val="0"/>
                <color theme="0"/>
              </font>
              <fill>
                <patternFill>
                  <bgColor rgb="FFC00000"/>
                </patternFill>
              </fill>
            </x14:dxf>
          </x14:cfRule>
          <xm:sqref>I31:I45 D31:D47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CAE4-AD24-41C8-B50A-BA7F2B6DA2E3}">
  <dimension ref="A2:B8"/>
  <sheetViews>
    <sheetView workbookViewId="0">
      <selection activeCell="B23" sqref="B23"/>
    </sheetView>
  </sheetViews>
  <sheetFormatPr defaultRowHeight="15"/>
  <cols>
    <col min="2" max="2" width="39.5703125" customWidth="1"/>
  </cols>
  <sheetData>
    <row r="2" spans="1:2">
      <c r="A2">
        <v>1</v>
      </c>
      <c r="B2" t="s">
        <v>145</v>
      </c>
    </row>
    <row r="3" spans="1:2">
      <c r="A3">
        <v>2</v>
      </c>
      <c r="B3" t="s">
        <v>146</v>
      </c>
    </row>
    <row r="4" spans="1:2">
      <c r="A4">
        <v>3</v>
      </c>
      <c r="B4" t="s">
        <v>147</v>
      </c>
    </row>
    <row r="5" spans="1:2">
      <c r="A5">
        <v>4</v>
      </c>
      <c r="B5" t="s">
        <v>148</v>
      </c>
    </row>
    <row r="6" spans="1:2">
      <c r="A6">
        <v>5</v>
      </c>
      <c r="B6" t="s">
        <v>149</v>
      </c>
    </row>
    <row r="7" spans="1:2">
      <c r="A7">
        <v>6</v>
      </c>
      <c r="B7" t="s">
        <v>150</v>
      </c>
    </row>
    <row r="8" spans="1:2">
      <c r="A8">
        <v>7</v>
      </c>
      <c r="B8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5A03-9AD5-426F-9C23-820749691476}">
  <sheetPr codeName="Sheet2">
    <tabColor rgb="FF00B050"/>
  </sheetPr>
  <dimension ref="A1:E25"/>
  <sheetViews>
    <sheetView workbookViewId="0">
      <selection activeCell="E6" sqref="E6"/>
    </sheetView>
  </sheetViews>
  <sheetFormatPr defaultRowHeight="15"/>
  <cols>
    <col min="1" max="1" width="11" customWidth="1"/>
  </cols>
  <sheetData>
    <row r="1" spans="1:5" ht="15.75">
      <c r="A1" s="36"/>
      <c r="B1" s="37"/>
      <c r="C1" s="37"/>
      <c r="D1" s="37"/>
      <c r="E1" s="37"/>
    </row>
    <row r="2" spans="1:5" ht="15.75">
      <c r="A2" s="36"/>
      <c r="B2" s="37"/>
      <c r="C2" s="38" t="s">
        <v>49</v>
      </c>
      <c r="D2" s="38" t="s">
        <v>50</v>
      </c>
      <c r="E2" s="38" t="s">
        <v>51</v>
      </c>
    </row>
    <row r="3" spans="1:5" ht="15.75">
      <c r="A3" s="132" t="s">
        <v>52</v>
      </c>
      <c r="B3" s="39" t="s">
        <v>53</v>
      </c>
      <c r="C3" s="40">
        <f>Control!C2</f>
        <v>0.3</v>
      </c>
      <c r="D3" s="40">
        <f>C3</f>
        <v>0.3</v>
      </c>
      <c r="E3" s="133">
        <f>Control!C4+0.3</f>
        <v>0.89999999999999991</v>
      </c>
    </row>
    <row r="4" spans="1:5" ht="15.75">
      <c r="A4" s="132"/>
      <c r="B4" s="39" t="s">
        <v>54</v>
      </c>
      <c r="C4" s="40">
        <f>Control!C3</f>
        <v>0.3</v>
      </c>
      <c r="D4" s="40">
        <f>C4</f>
        <v>0.3</v>
      </c>
      <c r="E4" s="133"/>
    </row>
    <row r="5" spans="1:5" ht="15.75">
      <c r="A5" s="132"/>
      <c r="B5" s="39" t="s">
        <v>55</v>
      </c>
      <c r="C5" s="40">
        <f>(2*C3*C4)/(C3+C4)</f>
        <v>0.3</v>
      </c>
      <c r="D5" s="40">
        <f>(2*D3*D4)/(D3+D4)</f>
        <v>0.3</v>
      </c>
      <c r="E5" s="133"/>
    </row>
    <row r="6" spans="1:5" ht="15.75">
      <c r="A6" s="36"/>
      <c r="B6" s="37"/>
      <c r="C6" s="41"/>
      <c r="D6" s="41"/>
      <c r="E6" s="41"/>
    </row>
    <row r="7" spans="1:5" ht="15.75">
      <c r="A7" s="134" t="s">
        <v>56</v>
      </c>
      <c r="B7" s="39" t="s">
        <v>53</v>
      </c>
      <c r="C7" s="42">
        <f>C3*Control!$C$6^0.5</f>
        <v>0.67082039324993692</v>
      </c>
      <c r="D7" s="42">
        <f>C3</f>
        <v>0.3</v>
      </c>
      <c r="E7" s="135">
        <f>(C9-C5)/2/ATAN(RADIANS(Control!C7))</f>
        <v>0.89806452455433261</v>
      </c>
    </row>
    <row r="8" spans="1:5" ht="15.75">
      <c r="A8" s="134"/>
      <c r="B8" s="39" t="s">
        <v>54</v>
      </c>
      <c r="C8" s="42">
        <f>C4*Control!$C$6^0.5</f>
        <v>0.67082039324993692</v>
      </c>
      <c r="D8" s="42">
        <f>C4</f>
        <v>0.3</v>
      </c>
      <c r="E8" s="135"/>
    </row>
    <row r="9" spans="1:5" ht="15.75">
      <c r="A9" s="134"/>
      <c r="B9" s="39" t="s">
        <v>55</v>
      </c>
      <c r="C9" s="42">
        <f>(2*C7*C8)/(C7+C8)</f>
        <v>0.67082039324993692</v>
      </c>
      <c r="D9" s="42">
        <f>(2*D7*D8)/(D7+D8)</f>
        <v>0.3</v>
      </c>
      <c r="E9" s="135"/>
    </row>
    <row r="10" spans="1:5" ht="15.75">
      <c r="A10" s="36"/>
      <c r="B10" s="37"/>
      <c r="C10" s="41"/>
      <c r="D10" s="41"/>
      <c r="E10" s="41"/>
    </row>
    <row r="11" spans="1:5" ht="15.75">
      <c r="A11" s="132" t="s">
        <v>57</v>
      </c>
      <c r="B11" s="39" t="s">
        <v>53</v>
      </c>
      <c r="C11" s="42">
        <f>C7</f>
        <v>0.67082039324993692</v>
      </c>
      <c r="D11" s="42">
        <f>C11</f>
        <v>0.67082039324993692</v>
      </c>
      <c r="E11" s="135">
        <f>C9*Control!C9</f>
        <v>6.7082039324993695E-2</v>
      </c>
    </row>
    <row r="12" spans="1:5" ht="15.75">
      <c r="A12" s="132"/>
      <c r="B12" s="39" t="s">
        <v>54</v>
      </c>
      <c r="C12" s="42">
        <f>C8</f>
        <v>0.67082039324993692</v>
      </c>
      <c r="D12" s="42">
        <f>C12</f>
        <v>0.67082039324993692</v>
      </c>
      <c r="E12" s="135"/>
    </row>
    <row r="13" spans="1:5" ht="15.75">
      <c r="A13" s="132"/>
      <c r="B13" s="39" t="s">
        <v>55</v>
      </c>
      <c r="C13" s="42">
        <f>(2*C11*C12)/(C11+C12)</f>
        <v>0.67082039324993692</v>
      </c>
      <c r="D13" s="42">
        <f>(2*D11*D12)/(D11+D12)</f>
        <v>0.67082039324993692</v>
      </c>
      <c r="E13" s="135"/>
    </row>
    <row r="14" spans="1:5" ht="15.75">
      <c r="A14" s="36"/>
      <c r="B14" s="37"/>
      <c r="C14" s="41"/>
      <c r="D14" s="41"/>
      <c r="E14" s="41"/>
    </row>
    <row r="15" spans="1:5" ht="15.75">
      <c r="A15" s="134" t="s">
        <v>58</v>
      </c>
      <c r="B15" s="39" t="s">
        <v>53</v>
      </c>
      <c r="C15" s="42">
        <f>C3</f>
        <v>0.3</v>
      </c>
      <c r="D15" s="42">
        <f>C15+2*$E$15*TAN(RADIANS(Control!C11))</f>
        <v>0.55688300463203411</v>
      </c>
      <c r="E15" s="135">
        <f>D5*Control!C12</f>
        <v>2.1</v>
      </c>
    </row>
    <row r="16" spans="1:5" ht="15.75">
      <c r="A16" s="134"/>
      <c r="B16" s="39" t="s">
        <v>54</v>
      </c>
      <c r="C16" s="42">
        <f>C4</f>
        <v>0.3</v>
      </c>
      <c r="D16" s="42">
        <f>C16+2*$E$15*TAN(RADIANS(Control!C11))</f>
        <v>0.55688300463203411</v>
      </c>
      <c r="E16" s="135"/>
    </row>
    <row r="17" spans="1:5" ht="15.75">
      <c r="A17" s="134"/>
      <c r="B17" s="39" t="s">
        <v>55</v>
      </c>
      <c r="C17" s="42">
        <f>(2*C15*C16)/(C15+C16)</f>
        <v>0.3</v>
      </c>
      <c r="D17" s="42">
        <f>(2*D15*D16)/(D15+D16)</f>
        <v>0.55688300463203411</v>
      </c>
      <c r="E17" s="135"/>
    </row>
    <row r="19" spans="1:5" ht="15.75">
      <c r="A19" s="132" t="s">
        <v>59</v>
      </c>
      <c r="B19" s="39" t="s">
        <v>53</v>
      </c>
      <c r="C19" s="42">
        <f>D15</f>
        <v>0.55688300463203411</v>
      </c>
      <c r="D19" s="42">
        <f>C19</f>
        <v>0.55688300463203411</v>
      </c>
      <c r="E19" s="135">
        <f>Control!C16*Control!C17</f>
        <v>0.41766225347402558</v>
      </c>
    </row>
    <row r="20" spans="1:5" ht="15.75">
      <c r="A20" s="132"/>
      <c r="B20" s="39" t="s">
        <v>54</v>
      </c>
      <c r="C20" s="42">
        <f>D16</f>
        <v>0.55688300463203411</v>
      </c>
      <c r="D20" s="42">
        <f>C20</f>
        <v>0.55688300463203411</v>
      </c>
      <c r="E20" s="135"/>
    </row>
    <row r="21" spans="1:5" ht="15.75">
      <c r="A21" s="132"/>
      <c r="B21" s="39" t="s">
        <v>55</v>
      </c>
      <c r="C21" s="42">
        <f>(2*C19*C20)/(C19+C20)</f>
        <v>0.55688300463203411</v>
      </c>
      <c r="D21" s="42">
        <f>(2*D19*D20)/(D19+D20)</f>
        <v>0.55688300463203411</v>
      </c>
      <c r="E21" s="135"/>
    </row>
    <row r="24" spans="1:5">
      <c r="C24" s="136" t="s">
        <v>140</v>
      </c>
      <c r="D24" s="136"/>
      <c r="E24" s="30">
        <f>E3+E7+E11+E15+E19</f>
        <v>4.3828088173533519</v>
      </c>
    </row>
    <row r="25" spans="1:5">
      <c r="C25" s="136" t="s">
        <v>143</v>
      </c>
      <c r="D25" s="136"/>
      <c r="E25" s="30">
        <f>MAX(C4,C8,C12,C16,C20)</f>
        <v>0.67082039324993692</v>
      </c>
    </row>
  </sheetData>
  <mergeCells count="12">
    <mergeCell ref="C24:D24"/>
    <mergeCell ref="C25:D25"/>
    <mergeCell ref="A15:A17"/>
    <mergeCell ref="E15:E17"/>
    <mergeCell ref="A19:A21"/>
    <mergeCell ref="E19:E21"/>
    <mergeCell ref="A3:A5"/>
    <mergeCell ref="E3:E5"/>
    <mergeCell ref="A7:A9"/>
    <mergeCell ref="E7:E9"/>
    <mergeCell ref="A11:A13"/>
    <mergeCell ref="E11:E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3897-B0D3-40CB-B617-A66AFE00D11A}">
  <sheetPr codeName="Sheet3">
    <tabColor rgb="FF00B050"/>
  </sheetPr>
  <dimension ref="A1:Y60"/>
  <sheetViews>
    <sheetView workbookViewId="0">
      <selection activeCell="C37" sqref="C37"/>
    </sheetView>
  </sheetViews>
  <sheetFormatPr defaultColWidth="10.7109375" defaultRowHeight="15.75"/>
  <cols>
    <col min="1" max="1" width="12.28515625" style="37" customWidth="1"/>
    <col min="2" max="3" width="10.7109375" style="41"/>
    <col min="4" max="4" width="2.140625" style="37" bestFit="1" customWidth="1"/>
    <col min="5" max="5" width="12.7109375" style="37" customWidth="1"/>
    <col min="6" max="16384" width="10.7109375" style="37"/>
  </cols>
  <sheetData>
    <row r="1" spans="1:25">
      <c r="B1" s="62" t="s">
        <v>107</v>
      </c>
      <c r="C1" s="62" t="s">
        <v>108</v>
      </c>
    </row>
    <row r="2" spans="1:25">
      <c r="A2" s="138" t="str">
        <f>[1]Dimensioning!A3</f>
        <v>Test Section</v>
      </c>
      <c r="B2" s="41">
        <v>0</v>
      </c>
      <c r="C2" s="41">
        <v>0</v>
      </c>
      <c r="D2" s="37" t="s">
        <v>40</v>
      </c>
    </row>
    <row r="3" spans="1:25">
      <c r="A3" s="138"/>
      <c r="B3" s="41">
        <f>B2+Dimensioning!E3</f>
        <v>0.89999999999999991</v>
      </c>
      <c r="C3" s="41">
        <f>C2</f>
        <v>0</v>
      </c>
      <c r="D3" s="37" t="s">
        <v>41</v>
      </c>
    </row>
    <row r="4" spans="1:25">
      <c r="A4" s="138"/>
      <c r="B4" s="41">
        <f>B3</f>
        <v>0.89999999999999991</v>
      </c>
      <c r="C4" s="41">
        <f>C3+Dimensioning!D3</f>
        <v>0.3</v>
      </c>
      <c r="D4" s="37" t="s">
        <v>42</v>
      </c>
    </row>
    <row r="5" spans="1:25">
      <c r="A5" s="138"/>
      <c r="B5" s="41">
        <f>B2</f>
        <v>0</v>
      </c>
      <c r="C5" s="41">
        <f>C4</f>
        <v>0.3</v>
      </c>
      <c r="D5" s="37" t="s">
        <v>43</v>
      </c>
    </row>
    <row r="6" spans="1:25">
      <c r="A6" s="138"/>
      <c r="B6" s="41">
        <f>B2</f>
        <v>0</v>
      </c>
      <c r="C6" s="41">
        <f>C2</f>
        <v>0</v>
      </c>
      <c r="D6" s="37" t="s">
        <v>40</v>
      </c>
    </row>
    <row r="7" spans="1:25">
      <c r="E7" s="137" t="s">
        <v>109</v>
      </c>
      <c r="G7" s="37" t="s">
        <v>40</v>
      </c>
      <c r="Y7" s="37" t="s">
        <v>41</v>
      </c>
    </row>
    <row r="8" spans="1:25">
      <c r="A8" s="138" t="str">
        <f>[1]Dimensioning!A7</f>
        <v>Contraction</v>
      </c>
      <c r="B8" s="63">
        <f>B3</f>
        <v>0.89999999999999991</v>
      </c>
      <c r="C8" s="63">
        <f>C3</f>
        <v>0</v>
      </c>
      <c r="D8" s="64" t="s">
        <v>40</v>
      </c>
      <c r="E8" s="137"/>
      <c r="F8" s="37" t="s">
        <v>107</v>
      </c>
      <c r="G8" s="41">
        <f>B8</f>
        <v>0.89999999999999991</v>
      </c>
      <c r="H8" s="41">
        <f>$G8+Contraction!C26</f>
        <v>0.94989247358635176</v>
      </c>
      <c r="I8" s="41">
        <f>$G$8+Contraction!D26</f>
        <v>0.9997849471727035</v>
      </c>
      <c r="J8" s="41">
        <f>$G$8+Contraction!E26</f>
        <v>1.0496774207590553</v>
      </c>
      <c r="K8" s="41">
        <f>$G$8+Contraction!F26</f>
        <v>1.0995698943454071</v>
      </c>
      <c r="L8" s="41">
        <f>$G$8+Contraction!G26</f>
        <v>1.149462367931759</v>
      </c>
      <c r="M8" s="41">
        <f>$G$8+Contraction!H26</f>
        <v>1.1993548415181108</v>
      </c>
      <c r="N8" s="41">
        <f>$G$8+Contraction!I26</f>
        <v>1.2492473151044625</v>
      </c>
      <c r="O8" s="41">
        <f>$G$8+Contraction!J26</f>
        <v>1.2991397886908143</v>
      </c>
      <c r="P8" s="41">
        <f>$G$8+Contraction!K26</f>
        <v>1.3490322622771662</v>
      </c>
      <c r="Q8" s="41">
        <f>$G$8+Contraction!L26</f>
        <v>1.398924735863518</v>
      </c>
      <c r="R8" s="41">
        <f>$G$8+Contraction!M26</f>
        <v>1.4488172094498699</v>
      </c>
      <c r="S8" s="41">
        <f>$G$8+Contraction!N26</f>
        <v>1.4987096830362217</v>
      </c>
      <c r="T8" s="41">
        <f>$G$8+Contraction!O26</f>
        <v>1.5486021566225734</v>
      </c>
      <c r="U8" s="41">
        <f>$G$8+Contraction!P26</f>
        <v>1.5984946302089253</v>
      </c>
      <c r="V8" s="41">
        <f>$G$8+Contraction!Q26</f>
        <v>1.6483871037952773</v>
      </c>
      <c r="W8" s="41">
        <f>$G$8+Contraction!R26</f>
        <v>1.698279577381629</v>
      </c>
      <c r="X8" s="41">
        <f>$G$8+Contraction!S26</f>
        <v>1.7481720509679808</v>
      </c>
      <c r="Y8" s="41">
        <f>$G$8+Contraction!T26</f>
        <v>1.7980645245543327</v>
      </c>
    </row>
    <row r="9" spans="1:25">
      <c r="A9" s="138"/>
      <c r="B9" s="41">
        <f>B8+Dimensioning!E7</f>
        <v>1.7980645245543325</v>
      </c>
      <c r="C9" s="65">
        <f>C8-(Dimensioning!C7-Dimensioning!D7)/2</f>
        <v>-0.18541019662496847</v>
      </c>
      <c r="D9" s="37" t="s">
        <v>41</v>
      </c>
      <c r="E9" s="137"/>
      <c r="F9" s="37" t="s">
        <v>108</v>
      </c>
      <c r="G9" s="41">
        <f>C8</f>
        <v>0</v>
      </c>
      <c r="H9" s="41">
        <f>$G$9-Contraction!C27</f>
        <v>-1.347975366409236E-3</v>
      </c>
      <c r="I9" s="41">
        <f>$G$9-Contraction!D27</f>
        <v>-5.2901674757192653E-3</v>
      </c>
      <c r="J9" s="41">
        <f>$G$9-Contraction!E27</f>
        <v>-1.1673975343053571E-2</v>
      </c>
      <c r="K9" s="41">
        <f>$G$9-Contraction!F27</f>
        <v>-2.0346797983535635E-2</v>
      </c>
      <c r="L9" s="41">
        <f>$G$9-Contraction!G27</f>
        <v>-3.1156034412288942E-2</v>
      </c>
      <c r="M9" s="41">
        <f>$G$9-Contraction!H27</f>
        <v>-4.3949083644436969E-2</v>
      </c>
      <c r="N9" s="41">
        <f>$G$9-Contraction!I27</f>
        <v>-5.8573344695103204E-2</v>
      </c>
      <c r="O9" s="41">
        <f>$G$9-Contraction!J27</f>
        <v>-7.4876216579411112E-2</v>
      </c>
      <c r="P9" s="41">
        <f>$G$9-Contraction!K27</f>
        <v>-9.2705098312484205E-2</v>
      </c>
      <c r="Q9" s="41">
        <f>$G$9-Contraction!L27</f>
        <v>-0.11053398004555733</v>
      </c>
      <c r="R9" s="41">
        <f>$G$9-Contraction!M27</f>
        <v>-0.12683685192986524</v>
      </c>
      <c r="S9" s="41">
        <f>$G$9-Contraction!N27</f>
        <v>-0.14146111298053152</v>
      </c>
      <c r="T9" s="41">
        <f>$G$9-Contraction!O27</f>
        <v>-0.15425416221267957</v>
      </c>
      <c r="U9" s="41">
        <f>$G$9-Contraction!P27</f>
        <v>-0.16506339864143285</v>
      </c>
      <c r="V9" s="41">
        <f>$G$9-Contraction!Q27</f>
        <v>-0.1737362212819149</v>
      </c>
      <c r="W9" s="41">
        <f>$G$9-Contraction!R27</f>
        <v>-0.18012002914924921</v>
      </c>
      <c r="X9" s="41">
        <f>$G$9-Contraction!S27</f>
        <v>-0.18406222125855926</v>
      </c>
      <c r="Y9" s="41">
        <f>$G$9-Contraction!T27</f>
        <v>-0.18541019662496849</v>
      </c>
    </row>
    <row r="10" spans="1:25">
      <c r="A10" s="138"/>
      <c r="B10" s="41">
        <f>B9</f>
        <v>1.7980645245543325</v>
      </c>
      <c r="C10" s="65">
        <f>C9+Dimensioning!C7</f>
        <v>0.48541019662496843</v>
      </c>
      <c r="D10" s="37" t="s">
        <v>42</v>
      </c>
      <c r="E10" s="137"/>
      <c r="G10" s="37" t="s">
        <v>42</v>
      </c>
      <c r="Y10" s="37" t="s">
        <v>43</v>
      </c>
    </row>
    <row r="11" spans="1:25">
      <c r="A11" s="138"/>
      <c r="B11" s="63">
        <f>B4</f>
        <v>0.89999999999999991</v>
      </c>
      <c r="C11" s="63">
        <f>C4</f>
        <v>0.3</v>
      </c>
      <c r="D11" s="64" t="s">
        <v>43</v>
      </c>
      <c r="E11" s="137"/>
      <c r="F11" s="37" t="s">
        <v>107</v>
      </c>
      <c r="G11" s="41">
        <f>B10</f>
        <v>1.7980645245543325</v>
      </c>
      <c r="H11" s="41">
        <f>$G$11-Contraction!C26</f>
        <v>1.7481720509679808</v>
      </c>
      <c r="I11" s="41">
        <f>$G$11-Contraction!D26</f>
        <v>1.6982795773816288</v>
      </c>
      <c r="J11" s="41">
        <f>$G$11-Contraction!E26</f>
        <v>1.6483871037952771</v>
      </c>
      <c r="K11" s="41">
        <f>$G$11-Contraction!F26</f>
        <v>1.5984946302089253</v>
      </c>
      <c r="L11" s="41">
        <f>$G$11-Contraction!G26</f>
        <v>1.5486021566225734</v>
      </c>
      <c r="M11" s="41">
        <f>$G$11-Contraction!H26</f>
        <v>1.4987096830362217</v>
      </c>
      <c r="N11" s="41">
        <f>$G$11-Contraction!I26</f>
        <v>1.4488172094498699</v>
      </c>
      <c r="O11" s="41">
        <f>$G$11-Contraction!J26</f>
        <v>1.3989247358635182</v>
      </c>
      <c r="P11" s="41">
        <f>$G$11-Contraction!K26</f>
        <v>1.3490322622771662</v>
      </c>
      <c r="Q11" s="41">
        <f>$G$11-Contraction!L26</f>
        <v>1.2991397886908145</v>
      </c>
      <c r="R11" s="41">
        <f>$G$11-Contraction!M26</f>
        <v>1.2492473151044625</v>
      </c>
      <c r="S11" s="41">
        <f>$G$11-Contraction!N26</f>
        <v>1.1993548415181108</v>
      </c>
      <c r="T11" s="41">
        <f>$G$11-Contraction!O26</f>
        <v>1.149462367931759</v>
      </c>
      <c r="U11" s="41">
        <f>$G$11-Contraction!P26</f>
        <v>1.0995698943454071</v>
      </c>
      <c r="V11" s="41">
        <f>$G$11-Contraction!Q26</f>
        <v>1.0496774207590551</v>
      </c>
      <c r="W11" s="41">
        <f>$G$11-Contraction!R26</f>
        <v>0.99978494717270339</v>
      </c>
      <c r="X11" s="41">
        <f>$G$11-Contraction!S26</f>
        <v>0.94989247358635154</v>
      </c>
      <c r="Y11" s="41">
        <f>$G$11-Contraction!T26</f>
        <v>0.89999999999999969</v>
      </c>
    </row>
    <row r="12" spans="1:25">
      <c r="A12" s="138"/>
      <c r="B12" s="63">
        <f>B8</f>
        <v>0.89999999999999991</v>
      </c>
      <c r="C12" s="63">
        <f>C8</f>
        <v>0</v>
      </c>
      <c r="D12" s="64" t="s">
        <v>40</v>
      </c>
      <c r="E12" s="137"/>
      <c r="F12" s="37" t="s">
        <v>108</v>
      </c>
      <c r="G12" s="41">
        <f>C10</f>
        <v>0.48541019662496843</v>
      </c>
      <c r="H12" s="41">
        <f>$G$12-Contraction!C27</f>
        <v>0.48406222125855919</v>
      </c>
      <c r="I12" s="41">
        <f>$G$12-Contraction!D27</f>
        <v>0.48012002914924917</v>
      </c>
      <c r="J12" s="41">
        <f>$G$12-Contraction!E27</f>
        <v>0.47373622128191484</v>
      </c>
      <c r="K12" s="41">
        <f>$G$12-Contraction!F27</f>
        <v>0.46506339864143281</v>
      </c>
      <c r="L12" s="41">
        <f>$G$12-Contraction!G27</f>
        <v>0.4542541622126795</v>
      </c>
      <c r="M12" s="41">
        <f>$G$12-Contraction!H27</f>
        <v>0.44146111298053148</v>
      </c>
      <c r="N12" s="41">
        <f>$G$12-Contraction!I27</f>
        <v>0.4268368519298652</v>
      </c>
      <c r="O12" s="41">
        <f>$G$12-Contraction!J27</f>
        <v>0.4105339800455573</v>
      </c>
      <c r="P12" s="41">
        <f>$G$12-Contraction!K27</f>
        <v>0.39270509831248424</v>
      </c>
      <c r="Q12" s="41">
        <f>$G$12-Contraction!L27</f>
        <v>0.37487621657941111</v>
      </c>
      <c r="R12" s="41">
        <f>$G$12-Contraction!M27</f>
        <v>0.35857334469510316</v>
      </c>
      <c r="S12" s="41">
        <f>$G$12-Contraction!N27</f>
        <v>0.34394908364443688</v>
      </c>
      <c r="T12" s="41">
        <f>$G$12-Contraction!O27</f>
        <v>0.33115603441228886</v>
      </c>
      <c r="U12" s="41">
        <f>$G$12-Contraction!P27</f>
        <v>0.3203467979835356</v>
      </c>
      <c r="V12" s="41">
        <f>$G$12-Contraction!Q27</f>
        <v>0.31167397534305352</v>
      </c>
      <c r="W12" s="41">
        <f>$G$12-Contraction!R27</f>
        <v>0.30529016747571924</v>
      </c>
      <c r="X12" s="41">
        <f>$G$12-Contraction!S27</f>
        <v>0.30134797536640917</v>
      </c>
      <c r="Y12" s="41">
        <f>$G$12-Contraction!T27</f>
        <v>0.29999999999999993</v>
      </c>
    </row>
    <row r="14" spans="1:25">
      <c r="A14" s="137" t="str">
        <f>[1]Dimensioning!A11</f>
        <v>Settling Chamber</v>
      </c>
      <c r="B14" s="63">
        <f>B9</f>
        <v>1.7980645245543325</v>
      </c>
      <c r="C14" s="63">
        <f>C9</f>
        <v>-0.18541019662496847</v>
      </c>
      <c r="D14" s="64" t="s">
        <v>40</v>
      </c>
    </row>
    <row r="15" spans="1:25">
      <c r="A15" s="137"/>
      <c r="B15" s="41">
        <f>B14+Dimensioning!E11</f>
        <v>1.8651465638793263</v>
      </c>
      <c r="C15" s="41">
        <f>C14</f>
        <v>-0.18541019662496847</v>
      </c>
      <c r="D15" s="37" t="s">
        <v>41</v>
      </c>
    </row>
    <row r="16" spans="1:25">
      <c r="A16" s="137"/>
      <c r="B16" s="41">
        <f>B15</f>
        <v>1.8651465638793263</v>
      </c>
      <c r="C16" s="41">
        <f>C15+Dimensioning!C11</f>
        <v>0.48541019662496843</v>
      </c>
      <c r="D16" s="37" t="s">
        <v>42</v>
      </c>
    </row>
    <row r="17" spans="1:4">
      <c r="A17" s="137"/>
      <c r="B17" s="63">
        <f>B14</f>
        <v>1.7980645245543325</v>
      </c>
      <c r="C17" s="63">
        <f>C16</f>
        <v>0.48541019662496843</v>
      </c>
      <c r="D17" s="64" t="s">
        <v>43</v>
      </c>
    </row>
    <row r="18" spans="1:4">
      <c r="A18" s="137"/>
      <c r="B18" s="63">
        <f>B14</f>
        <v>1.7980645245543325</v>
      </c>
      <c r="C18" s="63">
        <f>C14</f>
        <v>-0.18541019662496847</v>
      </c>
      <c r="D18" s="64" t="s">
        <v>40</v>
      </c>
    </row>
    <row r="20" spans="1:4">
      <c r="A20" s="137" t="str">
        <f>[1]Dimensioning!A15</f>
        <v>Diffuser 1</v>
      </c>
      <c r="B20" s="65">
        <f>B21-Dimensioning!E15</f>
        <v>-2.1</v>
      </c>
      <c r="C20" s="65">
        <f>C21-(Dimensioning!D15-Dimensioning!C15)/2</f>
        <v>-0.12844150231601706</v>
      </c>
      <c r="D20" s="66" t="s">
        <v>40</v>
      </c>
    </row>
    <row r="21" spans="1:4">
      <c r="A21" s="137"/>
      <c r="B21" s="63">
        <f>B2</f>
        <v>0</v>
      </c>
      <c r="C21" s="63">
        <f>C2</f>
        <v>0</v>
      </c>
      <c r="D21" s="64" t="s">
        <v>41</v>
      </c>
    </row>
    <row r="22" spans="1:4">
      <c r="A22" s="137"/>
      <c r="B22" s="63">
        <f>B5</f>
        <v>0</v>
      </c>
      <c r="C22" s="63">
        <f>C5</f>
        <v>0.3</v>
      </c>
      <c r="D22" s="64" t="s">
        <v>42</v>
      </c>
    </row>
    <row r="23" spans="1:4">
      <c r="A23" s="137"/>
      <c r="B23" s="65">
        <f>B22-Dimensioning!E15</f>
        <v>-2.1</v>
      </c>
      <c r="C23" s="65">
        <f>C22+(Dimensioning!D15-Dimensioning!C15)/2</f>
        <v>0.42844150231601708</v>
      </c>
      <c r="D23" s="66" t="s">
        <v>43</v>
      </c>
    </row>
    <row r="24" spans="1:4">
      <c r="A24" s="137"/>
      <c r="B24" s="63">
        <f>B20</f>
        <v>-2.1</v>
      </c>
      <c r="C24" s="63">
        <f>C20</f>
        <v>-0.12844150231601706</v>
      </c>
      <c r="D24" s="64" t="s">
        <v>40</v>
      </c>
    </row>
    <row r="27" spans="1:4">
      <c r="A27" s="137" t="str">
        <f>[1]Dimensioning!A42</f>
        <v>Power Plant</v>
      </c>
      <c r="B27" s="65">
        <f>B28-Dimensioning!E19</f>
        <v>-2.5176622534740258</v>
      </c>
      <c r="C27" s="65">
        <f>C28</f>
        <v>-0.12844150231601706</v>
      </c>
      <c r="D27" s="66" t="s">
        <v>40</v>
      </c>
    </row>
    <row r="28" spans="1:4">
      <c r="A28" s="137"/>
      <c r="B28" s="63">
        <f>B20</f>
        <v>-2.1</v>
      </c>
      <c r="C28" s="63">
        <f>C20</f>
        <v>-0.12844150231601706</v>
      </c>
      <c r="D28" s="64" t="s">
        <v>41</v>
      </c>
    </row>
    <row r="29" spans="1:4">
      <c r="A29" s="137"/>
      <c r="B29" s="63">
        <f>B23</f>
        <v>-2.1</v>
      </c>
      <c r="C29" s="63">
        <f>C23</f>
        <v>0.42844150231601708</v>
      </c>
      <c r="D29" s="64" t="s">
        <v>42</v>
      </c>
    </row>
    <row r="30" spans="1:4">
      <c r="A30" s="137"/>
      <c r="B30" s="65">
        <f>B29-Dimensioning!E19</f>
        <v>-2.5176622534740258</v>
      </c>
      <c r="C30" s="65">
        <f>C29</f>
        <v>0.42844150231601708</v>
      </c>
      <c r="D30" s="66" t="s">
        <v>43</v>
      </c>
    </row>
    <row r="31" spans="1:4">
      <c r="A31" s="137"/>
      <c r="B31" s="63">
        <f>B27</f>
        <v>-2.5176622534740258</v>
      </c>
      <c r="C31" s="63">
        <f>C27</f>
        <v>-0.12844150231601706</v>
      </c>
      <c r="D31" s="64" t="s">
        <v>40</v>
      </c>
    </row>
    <row r="34" spans="1:4">
      <c r="A34" s="137"/>
      <c r="B34" s="63"/>
      <c r="C34" s="63"/>
      <c r="D34" s="64"/>
    </row>
    <row r="35" spans="1:4">
      <c r="A35" s="137"/>
      <c r="B35" s="65"/>
      <c r="C35" s="65"/>
      <c r="D35" s="66"/>
    </row>
    <row r="36" spans="1:4">
      <c r="A36" s="137"/>
      <c r="B36" s="65"/>
      <c r="C36" s="65"/>
      <c r="D36" s="66"/>
    </row>
    <row r="37" spans="1:4">
      <c r="A37" s="137"/>
      <c r="B37" s="65"/>
      <c r="C37" s="65"/>
      <c r="D37" s="66"/>
    </row>
    <row r="38" spans="1:4">
      <c r="A38" s="137"/>
      <c r="B38" s="65"/>
      <c r="C38" s="65"/>
      <c r="D38" s="66"/>
    </row>
    <row r="39" spans="1:4">
      <c r="A39" s="137"/>
      <c r="B39" s="63"/>
      <c r="C39" s="63"/>
      <c r="D39" s="64"/>
    </row>
    <row r="40" spans="1:4">
      <c r="A40" s="137"/>
      <c r="B40" s="63"/>
      <c r="C40" s="63"/>
      <c r="D40" s="64"/>
    </row>
    <row r="42" spans="1:4">
      <c r="A42" s="137"/>
      <c r="B42" s="63"/>
      <c r="C42" s="63"/>
      <c r="D42" s="64"/>
    </row>
    <row r="43" spans="1:4">
      <c r="A43" s="137"/>
      <c r="B43" s="63"/>
      <c r="C43" s="63"/>
      <c r="D43" s="64"/>
    </row>
    <row r="44" spans="1:4">
      <c r="A44" s="137"/>
      <c r="B44" s="65"/>
      <c r="C44" s="65"/>
      <c r="D44" s="66"/>
    </row>
    <row r="45" spans="1:4">
      <c r="A45" s="137"/>
      <c r="B45" s="65"/>
      <c r="C45" s="65"/>
      <c r="D45" s="66"/>
    </row>
    <row r="46" spans="1:4">
      <c r="A46" s="137"/>
      <c r="B46" s="63"/>
      <c r="C46" s="63"/>
      <c r="D46" s="64"/>
    </row>
    <row r="48" spans="1:4">
      <c r="A48" s="137"/>
      <c r="B48" s="65"/>
      <c r="C48" s="65"/>
      <c r="D48" s="66"/>
    </row>
    <row r="49" spans="1:4">
      <c r="A49" s="137"/>
      <c r="B49" s="65"/>
      <c r="C49" s="65"/>
      <c r="D49" s="66"/>
    </row>
    <row r="50" spans="1:4">
      <c r="A50" s="137"/>
      <c r="B50" s="63"/>
      <c r="C50" s="63"/>
      <c r="D50" s="64"/>
    </row>
    <row r="51" spans="1:4">
      <c r="A51" s="137"/>
      <c r="B51" s="63"/>
      <c r="C51" s="63"/>
      <c r="D51" s="64"/>
    </row>
    <row r="52" spans="1:4">
      <c r="A52" s="137"/>
      <c r="B52" s="65"/>
      <c r="C52" s="65"/>
      <c r="D52" s="66"/>
    </row>
    <row r="53" spans="1:4">
      <c r="A53" s="137"/>
      <c r="B53" s="65"/>
      <c r="C53" s="65"/>
      <c r="D53" s="66"/>
    </row>
    <row r="54" spans="1:4">
      <c r="A54" s="137"/>
      <c r="B54" s="63"/>
      <c r="C54" s="63"/>
      <c r="D54" s="64"/>
    </row>
    <row r="56" spans="1:4">
      <c r="A56" s="137"/>
      <c r="B56" s="65"/>
      <c r="C56" s="65"/>
      <c r="D56" s="66"/>
    </row>
    <row r="57" spans="1:4">
      <c r="A57" s="137"/>
      <c r="B57" s="63"/>
      <c r="C57" s="63"/>
      <c r="D57" s="64"/>
    </row>
    <row r="58" spans="1:4">
      <c r="A58" s="137"/>
      <c r="B58" s="63"/>
      <c r="C58" s="63"/>
      <c r="D58" s="64"/>
    </row>
    <row r="59" spans="1:4">
      <c r="A59" s="137"/>
      <c r="B59" s="65"/>
      <c r="C59" s="65"/>
      <c r="D59" s="66"/>
    </row>
    <row r="60" spans="1:4">
      <c r="A60" s="137"/>
      <c r="B60" s="63"/>
      <c r="C60" s="63"/>
      <c r="D60" s="64"/>
    </row>
  </sheetData>
  <mergeCells count="10">
    <mergeCell ref="A2:A6"/>
    <mergeCell ref="E7:E12"/>
    <mergeCell ref="A8:A12"/>
    <mergeCell ref="A14:A18"/>
    <mergeCell ref="A20:A24"/>
    <mergeCell ref="A34:A40"/>
    <mergeCell ref="A42:A46"/>
    <mergeCell ref="A48:A54"/>
    <mergeCell ref="A56:A60"/>
    <mergeCell ref="A27:A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CBE4B-2BE4-47DC-9DDD-5D2470168A20}">
  <sheetPr codeName="Sheet4">
    <tabColor rgb="FF00B050"/>
  </sheetPr>
  <dimension ref="A1:I44"/>
  <sheetViews>
    <sheetView workbookViewId="0">
      <selection activeCell="I11" sqref="I11"/>
    </sheetView>
  </sheetViews>
  <sheetFormatPr defaultRowHeight="15"/>
  <cols>
    <col min="1" max="1" width="14" customWidth="1"/>
    <col min="2" max="2" width="12.85546875" customWidth="1"/>
    <col min="7" max="7" width="19.5703125" customWidth="1"/>
    <col min="8" max="8" width="15.5703125" customWidth="1"/>
    <col min="9" max="9" width="16.42578125" customWidth="1"/>
  </cols>
  <sheetData>
    <row r="1" spans="1:9">
      <c r="A1" s="3" t="s">
        <v>76</v>
      </c>
      <c r="B1" s="54"/>
      <c r="H1" s="7" t="s">
        <v>77</v>
      </c>
      <c r="I1" s="55">
        <f>Dimensioning!C4</f>
        <v>0.3</v>
      </c>
    </row>
    <row r="2" spans="1:9">
      <c r="B2" s="56"/>
      <c r="H2" s="7" t="s">
        <v>78</v>
      </c>
      <c r="I2" s="55">
        <f>Dimensioning!C3</f>
        <v>0.3</v>
      </c>
    </row>
    <row r="3" spans="1:9" ht="18.75">
      <c r="A3" s="7" t="s">
        <v>79</v>
      </c>
      <c r="B3" s="55">
        <f>I2*I1</f>
        <v>0.09</v>
      </c>
      <c r="H3" s="7" t="s">
        <v>80</v>
      </c>
      <c r="I3" s="55">
        <f>4*B3/(2*(I2+I1))</f>
        <v>0.3</v>
      </c>
    </row>
    <row r="4" spans="1:9" ht="18">
      <c r="A4" s="57" t="s">
        <v>81</v>
      </c>
      <c r="B4" s="55">
        <f>I9*I4/I3</f>
        <v>3.9391441387975283E-2</v>
      </c>
      <c r="H4" s="7" t="s">
        <v>82</v>
      </c>
      <c r="I4" s="55">
        <f>Dimensioning!E3</f>
        <v>0.89999999999999991</v>
      </c>
    </row>
    <row r="5" spans="1:9" ht="17.25">
      <c r="B5" s="56"/>
      <c r="H5" s="7" t="s">
        <v>83</v>
      </c>
      <c r="I5" s="55">
        <f>I6*B3</f>
        <v>2.6999999999999997</v>
      </c>
    </row>
    <row r="6" spans="1:9">
      <c r="B6" s="56"/>
      <c r="H6" s="7" t="s">
        <v>84</v>
      </c>
      <c r="I6" s="55">
        <f>Control!C21</f>
        <v>30</v>
      </c>
    </row>
    <row r="7" spans="1:9" ht="18">
      <c r="B7" s="56"/>
      <c r="H7" s="7" t="s">
        <v>85</v>
      </c>
      <c r="I7" s="58">
        <f>I6*I3/I8</f>
        <v>574626.22951155819</v>
      </c>
    </row>
    <row r="8" spans="1:9" ht="17.25">
      <c r="B8" s="56"/>
      <c r="H8" s="57" t="s">
        <v>86</v>
      </c>
      <c r="I8" s="13">
        <f>Control!$C$24</f>
        <v>1.566235500187687E-5</v>
      </c>
    </row>
    <row r="9" spans="1:9" ht="17.25">
      <c r="B9" s="56"/>
      <c r="H9" s="57" t="s">
        <v>25</v>
      </c>
      <c r="I9" s="55">
        <f>1/POWER((1.8*LOG(I7)-1.64),2)</f>
        <v>1.3130480462658429E-2</v>
      </c>
    </row>
    <row r="10" spans="1:9">
      <c r="B10" s="56"/>
      <c r="I10" s="4"/>
    </row>
    <row r="11" spans="1:9">
      <c r="A11" s="59" t="s">
        <v>87</v>
      </c>
      <c r="H11" s="5" t="s">
        <v>88</v>
      </c>
      <c r="I11" s="6">
        <f>Dimensioning!C12</f>
        <v>0.67082039324993692</v>
      </c>
    </row>
    <row r="12" spans="1:9">
      <c r="H12" s="5" t="s">
        <v>89</v>
      </c>
      <c r="I12" s="6">
        <f>Dimensioning!C11</f>
        <v>0.67082039324993692</v>
      </c>
    </row>
    <row r="13" spans="1:9" ht="18.75">
      <c r="A13" s="7" t="s">
        <v>90</v>
      </c>
      <c r="B13" s="6">
        <f>I11*I12</f>
        <v>0.45</v>
      </c>
      <c r="H13" s="7" t="s">
        <v>91</v>
      </c>
      <c r="I13" s="6">
        <f>4*B13/(2*(I11+I12))</f>
        <v>0.67082039324993692</v>
      </c>
    </row>
    <row r="14" spans="1:9" ht="18">
      <c r="A14" s="8" t="s">
        <v>81</v>
      </c>
      <c r="B14" s="10">
        <f>I19*I14/I13</f>
        <v>1.5249783441000904E-3</v>
      </c>
      <c r="H14" s="5" t="s">
        <v>15</v>
      </c>
      <c r="I14" s="6">
        <f>Dimensioning!E11</f>
        <v>6.7082039324993695E-2</v>
      </c>
    </row>
    <row r="15" spans="1:9" ht="17.25">
      <c r="H15" s="7" t="s">
        <v>17</v>
      </c>
      <c r="I15" s="10">
        <f>I5</f>
        <v>2.6999999999999997</v>
      </c>
    </row>
    <row r="16" spans="1:9" ht="18">
      <c r="H16" s="7" t="s">
        <v>92</v>
      </c>
      <c r="I16" s="6">
        <f>I15/B13</f>
        <v>5.9999999999999991</v>
      </c>
    </row>
    <row r="17" spans="1:9" ht="18">
      <c r="H17" s="7" t="s">
        <v>93</v>
      </c>
      <c r="I17" s="11">
        <f>I16*I13/I18</f>
        <v>256980.66216844798</v>
      </c>
    </row>
    <row r="18" spans="1:9" ht="18">
      <c r="H18" s="12" t="s">
        <v>23</v>
      </c>
      <c r="I18" s="13">
        <f>Control!$C$24</f>
        <v>1.566235500187687E-5</v>
      </c>
    </row>
    <row r="19" spans="1:9" ht="17.25">
      <c r="H19" s="8" t="s">
        <v>25</v>
      </c>
      <c r="I19" s="10">
        <f>1/POWER((1.8*LOG(I17)-1.64),2)</f>
        <v>1.5249783441000902E-2</v>
      </c>
    </row>
    <row r="20" spans="1:9">
      <c r="B20" s="56"/>
      <c r="I20" s="4"/>
    </row>
    <row r="21" spans="1:9">
      <c r="A21" s="59" t="s">
        <v>94</v>
      </c>
      <c r="H21" s="5" t="s">
        <v>88</v>
      </c>
      <c r="I21" s="6">
        <f>Dimensioning!C20</f>
        <v>0.55688300463203411</v>
      </c>
    </row>
    <row r="22" spans="1:9">
      <c r="H22" s="5" t="s">
        <v>89</v>
      </c>
      <c r="I22" s="6">
        <f>Dimensioning!C19</f>
        <v>0.55688300463203411</v>
      </c>
    </row>
    <row r="23" spans="1:9" ht="18.75">
      <c r="A23" s="7" t="s">
        <v>90</v>
      </c>
      <c r="B23" s="6">
        <f>I21*I22</f>
        <v>0.31011868084800209</v>
      </c>
      <c r="H23" s="7" t="s">
        <v>91</v>
      </c>
      <c r="I23" s="6">
        <f>4*B23/(2*(I21+I22))</f>
        <v>0.55688300463203411</v>
      </c>
    </row>
    <row r="24" spans="1:9" ht="18">
      <c r="A24" s="8" t="s">
        <v>81</v>
      </c>
      <c r="B24" s="10">
        <f>I29*I24/I23</f>
        <v>1.1037104678900787E-2</v>
      </c>
      <c r="H24" s="5" t="s">
        <v>15</v>
      </c>
      <c r="I24" s="6">
        <f>Dimensioning!E19</f>
        <v>0.41766225347402558</v>
      </c>
    </row>
    <row r="25" spans="1:9" ht="17.25">
      <c r="H25" s="7" t="s">
        <v>17</v>
      </c>
      <c r="I25" s="10">
        <f>I15</f>
        <v>2.6999999999999997</v>
      </c>
    </row>
    <row r="26" spans="1:9" ht="18">
      <c r="H26" s="7" t="s">
        <v>92</v>
      </c>
      <c r="I26" s="6">
        <f>I25/B23</f>
        <v>8.7063442699324067</v>
      </c>
    </row>
    <row r="27" spans="1:9" ht="18">
      <c r="H27" s="7" t="s">
        <v>93</v>
      </c>
      <c r="I27" s="11">
        <f>I26*I23/I28</f>
        <v>309558.50226992375</v>
      </c>
    </row>
    <row r="28" spans="1:9" ht="18">
      <c r="H28" s="12" t="s">
        <v>23</v>
      </c>
      <c r="I28" s="13">
        <f>Control!$C$24</f>
        <v>1.566235500187687E-5</v>
      </c>
    </row>
    <row r="29" spans="1:9" ht="17.25">
      <c r="H29" s="8" t="s">
        <v>25</v>
      </c>
      <c r="I29" s="10">
        <f>1/POWER((1.8*LOG(I27)-1.64),2)</f>
        <v>1.4716139571867716E-2</v>
      </c>
    </row>
    <row r="30" spans="1:9">
      <c r="B30" s="56"/>
      <c r="I30" s="4"/>
    </row>
    <row r="31" spans="1:9">
      <c r="B31" s="56"/>
      <c r="I31" s="4"/>
    </row>
    <row r="32" spans="1:9">
      <c r="B32" s="56"/>
      <c r="I32" s="4"/>
    </row>
    <row r="33" spans="2:9">
      <c r="B33" s="56"/>
      <c r="I33" s="4"/>
    </row>
    <row r="34" spans="2:9">
      <c r="B34" s="56"/>
      <c r="I34" s="4"/>
    </row>
    <row r="35" spans="2:9">
      <c r="B35" s="56"/>
      <c r="I35" s="4"/>
    </row>
    <row r="36" spans="2:9">
      <c r="B36" s="56"/>
      <c r="I36" s="4"/>
    </row>
    <row r="37" spans="2:9">
      <c r="B37" s="56"/>
      <c r="I37" s="4"/>
    </row>
    <row r="38" spans="2:9">
      <c r="B38" s="56"/>
      <c r="I38" s="4"/>
    </row>
    <row r="39" spans="2:9">
      <c r="B39" s="56"/>
      <c r="I39" s="4"/>
    </row>
    <row r="40" spans="2:9">
      <c r="B40" s="56"/>
      <c r="I40" s="4"/>
    </row>
    <row r="41" spans="2:9">
      <c r="B41" s="56"/>
      <c r="I41" s="4"/>
    </row>
    <row r="42" spans="2:9">
      <c r="B42" s="56"/>
      <c r="I42" s="4"/>
    </row>
    <row r="43" spans="2:9">
      <c r="B43" s="56"/>
      <c r="I43" s="4"/>
    </row>
    <row r="44" spans="2:9">
      <c r="B44" s="56"/>
      <c r="I44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39AD-09AF-4431-9C1D-2FDA93B2C2AC}">
  <sheetPr codeName="Hoja8">
    <tabColor rgb="FF00B050"/>
    <pageSetUpPr fitToPage="1"/>
  </sheetPr>
  <dimension ref="A1:T66"/>
  <sheetViews>
    <sheetView topLeftCell="A22" zoomScale="85" zoomScaleNormal="85" zoomScalePageLayoutView="85" workbookViewId="0">
      <selection activeCell="C31" sqref="C31"/>
    </sheetView>
  </sheetViews>
  <sheetFormatPr defaultColWidth="11.42578125" defaultRowHeight="15"/>
  <cols>
    <col min="1" max="1" width="47.42578125" bestFit="1" customWidth="1"/>
    <col min="2" max="2" width="10.140625" style="17" customWidth="1"/>
    <col min="3" max="3" width="13.42578125" customWidth="1"/>
    <col min="4" max="4" width="12.42578125" bestFit="1" customWidth="1"/>
    <col min="6" max="6" width="12.7109375" bestFit="1" customWidth="1"/>
    <col min="7" max="7" width="11.7109375" bestFit="1" customWidth="1"/>
    <col min="8" max="8" width="12.7109375" customWidth="1"/>
    <col min="9" max="9" width="21.7109375" bestFit="1" customWidth="1"/>
    <col min="10" max="10" width="11.28515625" customWidth="1"/>
    <col min="11" max="12" width="11.7109375" bestFit="1" customWidth="1"/>
    <col min="13" max="13" width="15.28515625" customWidth="1"/>
    <col min="14" max="15" width="11.7109375" bestFit="1" customWidth="1"/>
  </cols>
  <sheetData>
    <row r="1" spans="1:10">
      <c r="A1" s="3" t="s">
        <v>4</v>
      </c>
      <c r="B1" s="4"/>
      <c r="I1" s="5" t="s">
        <v>5</v>
      </c>
      <c r="J1" s="6">
        <f>Dimensioning!C8</f>
        <v>0.67082039324993692</v>
      </c>
    </row>
    <row r="2" spans="1:10" ht="18.75">
      <c r="A2" s="7" t="s">
        <v>6</v>
      </c>
      <c r="B2" s="6">
        <f>J1*J2</f>
        <v>0.45</v>
      </c>
      <c r="I2" s="5" t="s">
        <v>7</v>
      </c>
      <c r="J2" s="6">
        <f>Dimensioning!C7</f>
        <v>0.67082039324993692</v>
      </c>
    </row>
    <row r="3" spans="1:10" ht="18.75">
      <c r="A3" s="7" t="s">
        <v>8</v>
      </c>
      <c r="B3" s="6">
        <f>J3*J4</f>
        <v>0.09</v>
      </c>
      <c r="I3" s="5" t="s">
        <v>9</v>
      </c>
      <c r="J3" s="6">
        <f>Dimensioning!D8</f>
        <v>0.3</v>
      </c>
    </row>
    <row r="4" spans="1:10" ht="18">
      <c r="A4" s="7" t="s">
        <v>10</v>
      </c>
      <c r="B4" s="6">
        <f>B2/B3</f>
        <v>5</v>
      </c>
      <c r="I4" s="5" t="s">
        <v>11</v>
      </c>
      <c r="J4" s="6">
        <f>Dimensioning!D7</f>
        <v>0.3</v>
      </c>
    </row>
    <row r="5" spans="1:10" ht="18">
      <c r="A5" s="7" t="s">
        <v>12</v>
      </c>
      <c r="B5" s="6">
        <f>J6</f>
        <v>0.89806452455433261</v>
      </c>
      <c r="I5" s="7" t="s">
        <v>13</v>
      </c>
      <c r="J5" s="6">
        <f>4*B3/(2*(J3+J4))</f>
        <v>0.3</v>
      </c>
    </row>
    <row r="6" spans="1:10">
      <c r="A6" s="8" t="s">
        <v>14</v>
      </c>
      <c r="B6" s="6">
        <f>J14/2</f>
        <v>11.665123954774771</v>
      </c>
      <c r="C6" s="9"/>
      <c r="I6" s="5" t="s">
        <v>15</v>
      </c>
      <c r="J6" s="6">
        <f>Dimensioning!E7</f>
        <v>0.89806452455433261</v>
      </c>
    </row>
    <row r="7" spans="1:10" ht="17.25">
      <c r="A7" s="8" t="s">
        <v>16</v>
      </c>
      <c r="B7" s="6">
        <f>B6*PI()/180</f>
        <v>0.20359482066408185</v>
      </c>
      <c r="I7" s="7" t="s">
        <v>17</v>
      </c>
      <c r="J7" s="10">
        <f>ConstantSections!I5</f>
        <v>2.6999999999999997</v>
      </c>
    </row>
    <row r="8" spans="1:10" ht="18">
      <c r="A8" s="8" t="s">
        <v>18</v>
      </c>
      <c r="B8" s="6">
        <f>J13/2</f>
        <v>11.665123954774771</v>
      </c>
      <c r="I8" s="7" t="s">
        <v>19</v>
      </c>
      <c r="J8" s="6">
        <f>J7/(B3)</f>
        <v>29.999999999999996</v>
      </c>
    </row>
    <row r="9" spans="1:10" ht="18">
      <c r="A9" s="8" t="s">
        <v>20</v>
      </c>
      <c r="B9" s="6">
        <f>B8*PI()/180</f>
        <v>0.20359482066408185</v>
      </c>
      <c r="I9" s="7" t="s">
        <v>21</v>
      </c>
      <c r="J9" s="11">
        <f>J8*J5/J10</f>
        <v>574626.22951155808</v>
      </c>
    </row>
    <row r="10" spans="1:10" ht="18">
      <c r="A10" s="7" t="s">
        <v>22</v>
      </c>
      <c r="B10" s="6">
        <f>TAN(B9)</f>
        <v>0.20645531758085964</v>
      </c>
      <c r="I10" s="12" t="s">
        <v>23</v>
      </c>
      <c r="J10" s="13">
        <f>Control!$C$24</f>
        <v>1.566235500187687E-5</v>
      </c>
    </row>
    <row r="11" spans="1:10" ht="17.25">
      <c r="A11" s="7" t="s">
        <v>24</v>
      </c>
      <c r="B11" s="6">
        <f>SIN(B9)</f>
        <v>0.20219120311887873</v>
      </c>
      <c r="C11" s="9"/>
      <c r="I11" s="8" t="s">
        <v>25</v>
      </c>
      <c r="J11" s="10">
        <f>1/POWER((1.8*LOG(J9)-1.64),2)</f>
        <v>1.3130480462658429E-2</v>
      </c>
    </row>
    <row r="12" spans="1:10">
      <c r="A12" s="7" t="s">
        <v>26</v>
      </c>
      <c r="B12" s="6">
        <f>TAN(B7)</f>
        <v>0.20645531758085964</v>
      </c>
      <c r="J12" s="4"/>
    </row>
    <row r="13" spans="1:10">
      <c r="A13" s="7" t="s">
        <v>27</v>
      </c>
      <c r="B13" s="6">
        <f>SIN(B7)</f>
        <v>0.20219120311887873</v>
      </c>
      <c r="I13" s="12" t="s">
        <v>28</v>
      </c>
      <c r="J13" s="14">
        <f>2*180/PI()*ATAN((J1-J3)/(2*J6))</f>
        <v>23.330247909549541</v>
      </c>
    </row>
    <row r="14" spans="1:10">
      <c r="A14" s="8" t="s">
        <v>29</v>
      </c>
      <c r="B14" s="6">
        <f>J11</f>
        <v>1.3130480462658429E-2</v>
      </c>
      <c r="I14" s="15" t="s">
        <v>30</v>
      </c>
      <c r="J14" s="14">
        <f>2*180/PI()*ATAN((J2-J4)/(2*J6))</f>
        <v>23.330247909549541</v>
      </c>
    </row>
    <row r="15" spans="1:10" ht="18.75">
      <c r="A15" s="8" t="s">
        <v>31</v>
      </c>
      <c r="B15" s="6">
        <f>(B14/(16*B11))*(1-1/(POWER(B4,2)))+(B14/(16*B13))*(1-1/(POWER(B4,2)))</f>
        <v>7.7929090445769808E-3</v>
      </c>
      <c r="J15" s="4"/>
    </row>
    <row r="16" spans="1:10">
      <c r="B16" s="4"/>
    </row>
    <row r="17" spans="1:20">
      <c r="A17" s="16" t="s">
        <v>32</v>
      </c>
      <c r="B17" s="4"/>
      <c r="J17" s="4"/>
      <c r="N17" s="17"/>
    </row>
    <row r="18" spans="1:20">
      <c r="A18" s="7" t="s">
        <v>33</v>
      </c>
      <c r="B18" s="18" t="s">
        <v>34</v>
      </c>
      <c r="C18" s="19" t="s">
        <v>35</v>
      </c>
      <c r="D18" s="19" t="s">
        <v>36</v>
      </c>
      <c r="N18" s="17"/>
    </row>
    <row r="19" spans="1:20">
      <c r="A19" s="7" t="s">
        <v>37</v>
      </c>
      <c r="B19" s="14">
        <v>0</v>
      </c>
      <c r="C19" s="20">
        <f>(B19+D19)/2</f>
        <v>0.44903226227716631</v>
      </c>
      <c r="D19" s="20">
        <f>Dimensioning!E7</f>
        <v>0.89806452455433261</v>
      </c>
    </row>
    <row r="20" spans="1:20">
      <c r="A20" s="7" t="s">
        <v>38</v>
      </c>
      <c r="B20" s="14">
        <v>0</v>
      </c>
      <c r="C20" s="20">
        <f>(B20+D20)/2</f>
        <v>9.2705098312484233E-2</v>
      </c>
      <c r="D20" s="20">
        <f>(Dimensioning!C7-Dimensioning!D7)/2</f>
        <v>0.18541019662496847</v>
      </c>
    </row>
    <row r="21" spans="1:20">
      <c r="J21" s="21"/>
      <c r="N21" s="17"/>
    </row>
    <row r="22" spans="1:20">
      <c r="A22" t="s">
        <v>39</v>
      </c>
      <c r="B22" s="22" t="s">
        <v>40</v>
      </c>
      <c r="C22" s="22" t="s">
        <v>41</v>
      </c>
      <c r="D22" s="23" t="s">
        <v>42</v>
      </c>
      <c r="E22" s="22" t="s">
        <v>43</v>
      </c>
      <c r="J22" s="4"/>
      <c r="N22" s="17"/>
    </row>
    <row r="23" spans="1:20">
      <c r="A23" t="s">
        <v>44</v>
      </c>
      <c r="B23" s="24">
        <f>B20-C23*B19-D23*B19^2-E23*B19^3</f>
        <v>0</v>
      </c>
      <c r="C23" s="24">
        <f>B20-2*D23*B19-3*E23*B19^2</f>
        <v>0</v>
      </c>
      <c r="D23" s="24">
        <f>(C20-E23*C19^3)/C19^2</f>
        <v>0.55173403318648295</v>
      </c>
      <c r="E23" s="24">
        <f>(-2*C20/C19+2*(E24*(-9*C19+6*D19^2/C19)+3*C20/C19^2)/(3-4*D19/C19)*(C19-D19)+3*E24*(C19^2-D19^2))/C19^2</f>
        <v>-0.20478633702490476</v>
      </c>
      <c r="J23" s="4"/>
      <c r="N23" s="17"/>
    </row>
    <row r="24" spans="1:20">
      <c r="A24" t="s">
        <v>45</v>
      </c>
      <c r="B24" s="25">
        <f>D20+D24*D19^2+2*E24*D19^3</f>
        <v>-0.11124611797498107</v>
      </c>
      <c r="C24" s="25">
        <f>-2*(E24*(-9*C19+6*D19^2/C19)+3*C20/C19^2)/(3-4*D19/C19)*D19-3*E24*D19^2</f>
        <v>0.49549276219406319</v>
      </c>
      <c r="D24" s="25">
        <f>(E24*(-9*C19+6*D19^2/C19)+3*C20/C19^2)/(3-4*D19/C19)</f>
        <v>-8.8817841970012528E-17</v>
      </c>
      <c r="E24" s="25">
        <f>(C20-D20-(D19-C19)^2*3*C20/(3*C19^2-4*D19*C19))/(3*(D19-C19)^2*(-3*C19^2+2*D19^2)/(3*C19-4*D19)+2*D19^3-3*D19^2*C19+C19^3)</f>
        <v>-0.20478633702490456</v>
      </c>
      <c r="J24" s="21"/>
      <c r="N24" s="17"/>
    </row>
    <row r="25" spans="1:20" ht="15.75" thickBot="1">
      <c r="B25" s="4"/>
      <c r="J25" s="26"/>
    </row>
    <row r="26" spans="1:20" s="30" customFormat="1">
      <c r="A26" s="27" t="s">
        <v>37</v>
      </c>
      <c r="B26" s="28">
        <v>0</v>
      </c>
      <c r="C26" s="28">
        <f>B26+($C$19-$B$19)/9</f>
        <v>4.9892473586351814E-2</v>
      </c>
      <c r="D26" s="28">
        <f t="shared" ref="D26:K26" si="0">C26+($C$19-$B$19)/9</f>
        <v>9.9784947172703628E-2</v>
      </c>
      <c r="E26" s="28">
        <f t="shared" si="0"/>
        <v>0.14967742075905544</v>
      </c>
      <c r="F26" s="28">
        <f t="shared" si="0"/>
        <v>0.19956989434540726</v>
      </c>
      <c r="G26" s="28">
        <f t="shared" si="0"/>
        <v>0.24946236793175908</v>
      </c>
      <c r="H26" s="28">
        <f t="shared" si="0"/>
        <v>0.29935484151811087</v>
      </c>
      <c r="I26" s="28">
        <f t="shared" si="0"/>
        <v>0.34924731510446266</v>
      </c>
      <c r="J26" s="28">
        <f t="shared" si="0"/>
        <v>0.39913978869081446</v>
      </c>
      <c r="K26" s="28">
        <f t="shared" si="0"/>
        <v>0.44903226227716625</v>
      </c>
      <c r="L26" s="28">
        <f>K26+($D$19-$C$19)/9</f>
        <v>0.49892473586351804</v>
      </c>
      <c r="M26" s="28">
        <f t="shared" ref="M26:S26" si="1">L26+($D$19-$C$19)/9</f>
        <v>0.54881720944986989</v>
      </c>
      <c r="N26" s="28">
        <f t="shared" si="1"/>
        <v>0.59870968303622174</v>
      </c>
      <c r="O26" s="28">
        <f t="shared" si="1"/>
        <v>0.64860215662257359</v>
      </c>
      <c r="P26" s="28">
        <f t="shared" si="1"/>
        <v>0.69849463020892544</v>
      </c>
      <c r="Q26" s="28">
        <f t="shared" si="1"/>
        <v>0.74838710379527729</v>
      </c>
      <c r="R26" s="28">
        <f t="shared" si="1"/>
        <v>0.79827957738162914</v>
      </c>
      <c r="S26" s="28">
        <f t="shared" si="1"/>
        <v>0.84817205096798098</v>
      </c>
      <c r="T26" s="29">
        <f>S26+($D$19-$C$19)/9</f>
        <v>0.89806452455433283</v>
      </c>
    </row>
    <row r="27" spans="1:20" s="30" customFormat="1" ht="15.75" thickBot="1">
      <c r="A27" s="31" t="s">
        <v>38</v>
      </c>
      <c r="B27" s="32">
        <f>$B$23+$C$23*B26+$D$23*B26^2+$E$23*B26^3</f>
        <v>0</v>
      </c>
      <c r="C27" s="32">
        <f t="shared" ref="C27:K27" si="2">$B$23+$C$23*C26+$D$23*C26^2+$E$23*C26^3</f>
        <v>1.347975366409236E-3</v>
      </c>
      <c r="D27" s="32">
        <f t="shared" si="2"/>
        <v>5.2901674757192653E-3</v>
      </c>
      <c r="E27" s="32">
        <f t="shared" si="2"/>
        <v>1.1673975343053571E-2</v>
      </c>
      <c r="F27" s="32">
        <f t="shared" si="2"/>
        <v>2.0346797983535635E-2</v>
      </c>
      <c r="G27" s="32">
        <f t="shared" si="2"/>
        <v>3.1156034412288942E-2</v>
      </c>
      <c r="H27" s="32">
        <f t="shared" si="2"/>
        <v>4.3949083644436969E-2</v>
      </c>
      <c r="I27" s="32">
        <f t="shared" si="2"/>
        <v>5.8573344695103204E-2</v>
      </c>
      <c r="J27" s="32">
        <f t="shared" si="2"/>
        <v>7.4876216579411112E-2</v>
      </c>
      <c r="K27" s="32">
        <f t="shared" si="2"/>
        <v>9.2705098312484205E-2</v>
      </c>
      <c r="L27" s="32">
        <f>$B$24+$C$24*L26+$D$24*L26^2+$E$24*L26^3</f>
        <v>0.11053398004555733</v>
      </c>
      <c r="M27" s="32">
        <f t="shared" ref="M27:T27" si="3">$B$24+$C$24*M26+$D$24*M26^2+$E$24*M26^3</f>
        <v>0.12683685192986524</v>
      </c>
      <c r="N27" s="32">
        <f t="shared" si="3"/>
        <v>0.14146111298053152</v>
      </c>
      <c r="O27" s="32">
        <f t="shared" si="3"/>
        <v>0.15425416221267957</v>
      </c>
      <c r="P27" s="32">
        <f t="shared" si="3"/>
        <v>0.16506339864143285</v>
      </c>
      <c r="Q27" s="32">
        <f t="shared" si="3"/>
        <v>0.1737362212819149</v>
      </c>
      <c r="R27" s="32">
        <f t="shared" si="3"/>
        <v>0.18012002914924921</v>
      </c>
      <c r="S27" s="32">
        <f t="shared" si="3"/>
        <v>0.18406222125855926</v>
      </c>
      <c r="T27" s="33">
        <f t="shared" si="3"/>
        <v>0.18541019662496849</v>
      </c>
    </row>
    <row r="28" spans="1:20">
      <c r="A28" s="34"/>
      <c r="B28" s="4"/>
      <c r="J28" s="35"/>
    </row>
    <row r="29" spans="1:20">
      <c r="A29" s="34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20">
      <c r="A30" s="7" t="s">
        <v>46</v>
      </c>
      <c r="B30" s="18" t="s">
        <v>34</v>
      </c>
      <c r="C30" s="19" t="s">
        <v>35</v>
      </c>
      <c r="D30" s="19" t="s">
        <v>36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20">
      <c r="A31" s="7" t="s">
        <v>37</v>
      </c>
      <c r="B31" s="14">
        <v>0</v>
      </c>
      <c r="C31" s="20">
        <f>(B31+D31)/2</f>
        <v>0.44903226227716631</v>
      </c>
      <c r="D31" s="20">
        <f>[2]Dimensioning!E7</f>
        <v>0.89806452455433261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0">
      <c r="A32" s="7" t="s">
        <v>47</v>
      </c>
      <c r="B32" s="14">
        <v>0</v>
      </c>
      <c r="C32" s="20">
        <f>(B32+D32)/2</f>
        <v>9.2705098312484233E-2</v>
      </c>
      <c r="D32" s="20">
        <f>([2]Dimensioning!C8-[2]Dimensioning!D8)/2</f>
        <v>0.18541019662496847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20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20">
      <c r="A34" t="s">
        <v>48</v>
      </c>
      <c r="B34" s="22" t="s">
        <v>40</v>
      </c>
      <c r="C34" s="22" t="s">
        <v>41</v>
      </c>
      <c r="D34" s="23" t="s">
        <v>42</v>
      </c>
      <c r="E34" s="22" t="s">
        <v>43</v>
      </c>
      <c r="J34" s="4"/>
      <c r="N34" s="17"/>
    </row>
    <row r="35" spans="1:20">
      <c r="A35" t="s">
        <v>44</v>
      </c>
      <c r="B35" s="24">
        <f>B32-C35*B31-D35*B31^2-E35*B31^3</f>
        <v>0</v>
      </c>
      <c r="C35" s="24">
        <f>B32-2*D35*B31-3*E35*B31^2</f>
        <v>0</v>
      </c>
      <c r="D35" s="24">
        <f>(C32-E35*C31^3)/C31^2</f>
        <v>0.55173403318648295</v>
      </c>
      <c r="E35" s="24">
        <f>(-2*C32/C31+2*(E36*(-9*C31+6*D31^2/C31)+3*C32/C31^2)/(3-4*D31/C31)*(C31-D31)+3*E36*(C31^2-D31^2))/C31^2</f>
        <v>-0.20478633702490476</v>
      </c>
      <c r="J35" s="4"/>
      <c r="N35" s="17"/>
    </row>
    <row r="36" spans="1:20">
      <c r="A36" t="s">
        <v>45</v>
      </c>
      <c r="B36" s="25">
        <f>D32+D36*D31^2+2*E36*D31^3</f>
        <v>-0.11124611797498107</v>
      </c>
      <c r="C36" s="25">
        <f>-2*(E36*(-9*C31+6*D31^2/C31)+3*C32/C31^2)/(3-4*D31/C31)*D31-3*E36*D31^2</f>
        <v>0.49549276219406319</v>
      </c>
      <c r="D36" s="25">
        <f>(E36*(-9*C31+6*D31^2/C31)+3*C32/C31^2)/(3-4*D31/C31)</f>
        <v>-8.8817841970012528E-17</v>
      </c>
      <c r="E36" s="25">
        <f>(C32-D32-(D31-C31)^2*3*C32/(3*C31^2-4*D31*C31))/(3*(D31-C31)^2*(-3*C31^2+2*D31^2)/(3*C31-4*D31)+2*D31^3-3*D31^2*C31+C31^3)</f>
        <v>-0.20478633702490456</v>
      </c>
      <c r="J36" s="21"/>
      <c r="N36" s="17"/>
    </row>
    <row r="37" spans="1:20" ht="15.75" thickBot="1">
      <c r="B37" s="4"/>
      <c r="J37" s="26"/>
    </row>
    <row r="38" spans="1:20" s="30" customFormat="1">
      <c r="A38" s="27" t="s">
        <v>37</v>
      </c>
      <c r="B38" s="28">
        <v>0</v>
      </c>
      <c r="C38" s="28">
        <f>B38+($C$31-$B$31)/9</f>
        <v>4.9892473586351814E-2</v>
      </c>
      <c r="D38" s="28">
        <f t="shared" ref="D38:K38" si="4">C38+($C$31-$B$31)/9</f>
        <v>9.9784947172703628E-2</v>
      </c>
      <c r="E38" s="28">
        <f t="shared" si="4"/>
        <v>0.14967742075905544</v>
      </c>
      <c r="F38" s="28">
        <f t="shared" si="4"/>
        <v>0.19956989434540726</v>
      </c>
      <c r="G38" s="28">
        <f t="shared" si="4"/>
        <v>0.24946236793175908</v>
      </c>
      <c r="H38" s="28">
        <f t="shared" si="4"/>
        <v>0.29935484151811087</v>
      </c>
      <c r="I38" s="28">
        <f t="shared" si="4"/>
        <v>0.34924731510446266</v>
      </c>
      <c r="J38" s="28">
        <f t="shared" si="4"/>
        <v>0.39913978869081446</v>
      </c>
      <c r="K38" s="28">
        <f t="shared" si="4"/>
        <v>0.44903226227716625</v>
      </c>
      <c r="L38" s="28">
        <f>K38+($D$31-$C$31)/9</f>
        <v>0.49892473586351804</v>
      </c>
      <c r="M38" s="28">
        <f t="shared" ref="M38:T38" si="5">L38+($D$31-$C$31)/9</f>
        <v>0.54881720944986989</v>
      </c>
      <c r="N38" s="28">
        <f>M38+($D$31-$C$31)/9</f>
        <v>0.59870968303622174</v>
      </c>
      <c r="O38" s="28">
        <f t="shared" si="5"/>
        <v>0.64860215662257359</v>
      </c>
      <c r="P38" s="28">
        <f t="shared" si="5"/>
        <v>0.69849463020892544</v>
      </c>
      <c r="Q38" s="28">
        <f t="shared" si="5"/>
        <v>0.74838710379527729</v>
      </c>
      <c r="R38" s="28">
        <f t="shared" si="5"/>
        <v>0.79827957738162914</v>
      </c>
      <c r="S38" s="28">
        <f t="shared" si="5"/>
        <v>0.84817205096798098</v>
      </c>
      <c r="T38" s="29">
        <f t="shared" si="5"/>
        <v>0.89806452455433283</v>
      </c>
    </row>
    <row r="39" spans="1:20" s="30" customFormat="1" ht="15.75" thickBot="1">
      <c r="A39" s="31" t="s">
        <v>47</v>
      </c>
      <c r="B39" s="32">
        <f>$B$35+$C$35*B38+$D$35*B38^2+$E$35*B38^3</f>
        <v>0</v>
      </c>
      <c r="C39" s="32">
        <f t="shared" ref="C39:K39" si="6">$B$35+$C$35*C38+$D$35*C38^2+$E$35*C38^3</f>
        <v>1.347975366409236E-3</v>
      </c>
      <c r="D39" s="32">
        <f t="shared" si="6"/>
        <v>5.2901674757192653E-3</v>
      </c>
      <c r="E39" s="32">
        <f t="shared" si="6"/>
        <v>1.1673975343053571E-2</v>
      </c>
      <c r="F39" s="32">
        <f t="shared" si="6"/>
        <v>2.0346797983535635E-2</v>
      </c>
      <c r="G39" s="32">
        <f t="shared" si="6"/>
        <v>3.1156034412288942E-2</v>
      </c>
      <c r="H39" s="32">
        <f t="shared" si="6"/>
        <v>4.3949083644436969E-2</v>
      </c>
      <c r="I39" s="32">
        <f t="shared" si="6"/>
        <v>5.8573344695103204E-2</v>
      </c>
      <c r="J39" s="32">
        <f t="shared" si="6"/>
        <v>7.4876216579411112E-2</v>
      </c>
      <c r="K39" s="32">
        <f t="shared" si="6"/>
        <v>9.2705098312484205E-2</v>
      </c>
      <c r="L39" s="32">
        <f>$B$36+$C$36*L38+$D$36*L38^2+$E$36*L38^3</f>
        <v>0.11053398004555733</v>
      </c>
      <c r="M39" s="32">
        <f t="shared" ref="M39:T39" si="7">$B$36+$C$36*M38+$D$36*M38^2+$E$36*M38^3</f>
        <v>0.12683685192986524</v>
      </c>
      <c r="N39" s="32">
        <f t="shared" si="7"/>
        <v>0.14146111298053152</v>
      </c>
      <c r="O39" s="32">
        <f t="shared" si="7"/>
        <v>0.15425416221267957</v>
      </c>
      <c r="P39" s="32">
        <f t="shared" si="7"/>
        <v>0.16506339864143285</v>
      </c>
      <c r="Q39" s="32">
        <f t="shared" si="7"/>
        <v>0.1737362212819149</v>
      </c>
      <c r="R39" s="32">
        <f t="shared" si="7"/>
        <v>0.18012002914924921</v>
      </c>
      <c r="S39" s="32">
        <f t="shared" si="7"/>
        <v>0.18406222125855926</v>
      </c>
      <c r="T39" s="33">
        <f t="shared" si="7"/>
        <v>0.18541019662496849</v>
      </c>
    </row>
    <row r="41" spans="1:20">
      <c r="H41" s="9"/>
    </row>
    <row r="64" spans="1:1">
      <c r="A64" s="34"/>
    </row>
    <row r="65" spans="1:14">
      <c r="A65" s="3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>
      <c r="A66" s="34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</sheetData>
  <pageMargins left="0.25" right="0.25" top="0.75" bottom="0.75" header="0.3" footer="0.3"/>
  <pageSetup paperSize="8" scale="71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3FF68-11D3-4095-84C9-D5FF36DA9C44}">
  <sheetPr codeName="Sheet5">
    <tabColor rgb="FF00B050"/>
  </sheetPr>
  <dimension ref="A1:K22"/>
  <sheetViews>
    <sheetView workbookViewId="0">
      <selection activeCell="B1" sqref="B1"/>
    </sheetView>
  </sheetViews>
  <sheetFormatPr defaultRowHeight="15"/>
  <cols>
    <col min="1" max="1" width="16.140625" customWidth="1"/>
    <col min="2" max="2" width="13.42578125" customWidth="1"/>
    <col min="9" max="9" width="44.5703125" customWidth="1"/>
    <col min="10" max="10" width="23.140625" customWidth="1"/>
  </cols>
  <sheetData>
    <row r="1" spans="1:11">
      <c r="A1" s="3" t="s">
        <v>95</v>
      </c>
      <c r="B1" s="4"/>
      <c r="J1" s="5" t="s">
        <v>5</v>
      </c>
      <c r="K1" s="6">
        <f>Dimensioning!C16</f>
        <v>0.3</v>
      </c>
    </row>
    <row r="2" spans="1:11">
      <c r="B2" s="4"/>
      <c r="J2" s="5" t="s">
        <v>7</v>
      </c>
      <c r="K2" s="6">
        <f>Dimensioning!C15</f>
        <v>0.3</v>
      </c>
    </row>
    <row r="3" spans="1:11" ht="18.75">
      <c r="A3" s="7" t="s">
        <v>6</v>
      </c>
      <c r="B3" s="6">
        <f>K1*K2</f>
        <v>0.09</v>
      </c>
      <c r="J3" s="5" t="s">
        <v>9</v>
      </c>
      <c r="K3" s="6">
        <f>Dimensioning!D16</f>
        <v>0.55688300463203411</v>
      </c>
    </row>
    <row r="4" spans="1:11" ht="18.75">
      <c r="A4" s="7" t="s">
        <v>8</v>
      </c>
      <c r="B4" s="6">
        <f>K3*K4</f>
        <v>0.31011868084800209</v>
      </c>
      <c r="J4" s="5" t="s">
        <v>11</v>
      </c>
      <c r="K4" s="6">
        <f>Dimensioning!D15</f>
        <v>0.55688300463203411</v>
      </c>
    </row>
    <row r="5" spans="1:11" ht="18">
      <c r="A5" s="7" t="s">
        <v>96</v>
      </c>
      <c r="B5" s="6">
        <f>B4/B3</f>
        <v>3.4457631205333565</v>
      </c>
      <c r="J5" s="7" t="s">
        <v>97</v>
      </c>
      <c r="K5" s="6">
        <f>4*B3/(2*(K1+K2))</f>
        <v>0.3</v>
      </c>
    </row>
    <row r="6" spans="1:11">
      <c r="A6" s="7" t="s">
        <v>12</v>
      </c>
      <c r="B6" s="6">
        <f>K6</f>
        <v>2.1</v>
      </c>
      <c r="J6" s="5" t="s">
        <v>15</v>
      </c>
      <c r="K6" s="6">
        <f>Dimensioning!E15</f>
        <v>2.1</v>
      </c>
    </row>
    <row r="7" spans="1:11" ht="17.25">
      <c r="A7" s="8" t="s">
        <v>14</v>
      </c>
      <c r="B7" s="60">
        <f>K15/2</f>
        <v>3.5000000000000004</v>
      </c>
      <c r="J7" s="7" t="s">
        <v>17</v>
      </c>
      <c r="K7" s="10">
        <f>ConstantSections!$I$5</f>
        <v>2.6999999999999997</v>
      </c>
    </row>
    <row r="8" spans="1:11" ht="18">
      <c r="A8" s="8" t="s">
        <v>16</v>
      </c>
      <c r="B8" s="6">
        <f>B7*PI()/180</f>
        <v>6.1086523819801543E-2</v>
      </c>
      <c r="J8" s="7" t="s">
        <v>92</v>
      </c>
      <c r="K8" s="6">
        <f>K7/B3</f>
        <v>29.999999999999996</v>
      </c>
    </row>
    <row r="9" spans="1:11" ht="18">
      <c r="A9" s="8" t="s">
        <v>18</v>
      </c>
      <c r="B9" s="60">
        <f>K14/2</f>
        <v>3.5000000000000004</v>
      </c>
      <c r="J9" s="7" t="s">
        <v>21</v>
      </c>
      <c r="K9" s="11">
        <f>K5*K8/K11</f>
        <v>574626.22951155808</v>
      </c>
    </row>
    <row r="10" spans="1:11" ht="18">
      <c r="A10" s="8" t="s">
        <v>20</v>
      </c>
      <c r="B10" s="6">
        <f>B9*PI()/180</f>
        <v>6.1086523819801543E-2</v>
      </c>
      <c r="J10" s="5" t="s">
        <v>98</v>
      </c>
      <c r="K10" s="6">
        <f>K6/K5</f>
        <v>7.0000000000000009</v>
      </c>
    </row>
    <row r="11" spans="1:11" ht="18">
      <c r="A11" s="7" t="s">
        <v>99</v>
      </c>
      <c r="B11" s="6">
        <f>TAN(B10)</f>
        <v>6.1162620150484313E-2</v>
      </c>
      <c r="J11" s="12" t="s">
        <v>23</v>
      </c>
      <c r="K11" s="13">
        <f>Control!$C$24</f>
        <v>1.566235500187687E-5</v>
      </c>
    </row>
    <row r="12" spans="1:11" ht="17.25">
      <c r="A12" s="7" t="s">
        <v>100</v>
      </c>
      <c r="B12" s="6">
        <f>SIN(B10)</f>
        <v>6.104853953485688E-2</v>
      </c>
      <c r="J12" s="8" t="s">
        <v>25</v>
      </c>
      <c r="K12" s="10">
        <f>1/POWER((1.8*LOG(K9)-1.64),2)</f>
        <v>1.3130480462658429E-2</v>
      </c>
    </row>
    <row r="13" spans="1:11">
      <c r="A13" s="7" t="s">
        <v>26</v>
      </c>
      <c r="B13" s="6">
        <f>TAN(B8)</f>
        <v>6.1162620150484313E-2</v>
      </c>
      <c r="J13" s="17"/>
      <c r="K13" s="35"/>
    </row>
    <row r="14" spans="1:11" ht="18">
      <c r="A14" s="7" t="s">
        <v>27</v>
      </c>
      <c r="B14" s="6">
        <f>SIN(B8)</f>
        <v>6.104853953485688E-2</v>
      </c>
      <c r="J14" s="12" t="s">
        <v>101</v>
      </c>
      <c r="K14" s="14">
        <f>2*180/PI()*ATAN((K3-K1)/(2*K6))</f>
        <v>7.0000000000000009</v>
      </c>
    </row>
    <row r="15" spans="1:11" ht="18">
      <c r="A15" s="7" t="s">
        <v>102</v>
      </c>
      <c r="B15" s="6">
        <v>4</v>
      </c>
      <c r="J15" s="15" t="s">
        <v>103</v>
      </c>
      <c r="K15" s="14">
        <f>2*180/PI()*ATAN((K4-K2)/(2*K6))</f>
        <v>7.0000000000000009</v>
      </c>
    </row>
    <row r="16" spans="1:11" ht="18.75">
      <c r="A16" s="8" t="s">
        <v>104</v>
      </c>
      <c r="B16" s="6">
        <f>B15*B13*POWER(B13,0.25)</f>
        <v>0.12166554159407475</v>
      </c>
      <c r="K16" s="35"/>
    </row>
    <row r="17" spans="1:11" ht="18.75">
      <c r="A17" s="8" t="s">
        <v>105</v>
      </c>
      <c r="B17" s="6">
        <f>B16*POWER((1-1/B5),2)</f>
        <v>6.1295069350926462E-2</v>
      </c>
      <c r="J17" s="17"/>
      <c r="K17" s="35"/>
    </row>
    <row r="18" spans="1:11">
      <c r="A18" s="8" t="s">
        <v>29</v>
      </c>
      <c r="B18" s="6">
        <f>K12</f>
        <v>1.3130480462658429E-2</v>
      </c>
      <c r="J18" s="17"/>
      <c r="K18" s="35"/>
    </row>
    <row r="19" spans="1:11" ht="18.75">
      <c r="A19" s="8" t="s">
        <v>31</v>
      </c>
      <c r="B19" s="6">
        <f>(B18/(16*B12))*(1-1/(POWER(B5,2)))+(B18/(16*B14))*(1-1/(POWER(B5,2)))</f>
        <v>2.4620973796916235E-2</v>
      </c>
      <c r="J19" s="61"/>
      <c r="K19" s="35"/>
    </row>
    <row r="20" spans="1:11" ht="18">
      <c r="A20" s="8" t="s">
        <v>106</v>
      </c>
      <c r="B20" s="6">
        <f>B17+B19</f>
        <v>8.5916043147842694E-2</v>
      </c>
      <c r="J20" s="17"/>
      <c r="K20" s="35"/>
    </row>
    <row r="21" spans="1:11">
      <c r="B21" s="4"/>
      <c r="J21" s="61"/>
      <c r="K21" s="35"/>
    </row>
    <row r="22" spans="1:11">
      <c r="J22" s="17"/>
      <c r="K22" s="35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5EAC-D31D-426B-A16C-186347D4781A}">
  <sheetPr codeName="Hoja10">
    <pageSetUpPr fitToPage="1"/>
  </sheetPr>
  <dimension ref="A1:AG48"/>
  <sheetViews>
    <sheetView tabSelected="1" workbookViewId="0">
      <pane xSplit="1" topLeftCell="B1" activePane="topRight" state="frozen"/>
      <selection pane="topRight" activeCell="F21" sqref="F21"/>
    </sheetView>
  </sheetViews>
  <sheetFormatPr defaultColWidth="11.42578125" defaultRowHeight="15"/>
  <cols>
    <col min="1" max="1" width="21.140625" customWidth="1"/>
    <col min="2" max="6" width="10.7109375" style="17" customWidth="1"/>
    <col min="7" max="7" width="13.28515625" style="17" customWidth="1"/>
  </cols>
  <sheetData>
    <row r="1" spans="1:33">
      <c r="A1" s="139" t="s">
        <v>110</v>
      </c>
      <c r="B1" s="140"/>
    </row>
    <row r="2" spans="1:33" ht="17.25">
      <c r="A2" s="67" t="s">
        <v>111</v>
      </c>
      <c r="B2" s="68">
        <f>Control!C23</f>
        <v>1.2250000000000001</v>
      </c>
      <c r="E2"/>
      <c r="F2"/>
    </row>
    <row r="3" spans="1:33" ht="17.25">
      <c r="A3" s="59" t="s">
        <v>112</v>
      </c>
      <c r="B3" s="69">
        <f>ConstantSections!B3</f>
        <v>0.09</v>
      </c>
      <c r="E3" s="70"/>
      <c r="F3" s="71"/>
    </row>
    <row r="4" spans="1:33">
      <c r="B4" s="72"/>
      <c r="C4" s="4"/>
      <c r="E4" s="70"/>
      <c r="F4" s="71"/>
      <c r="AG4" s="73"/>
    </row>
    <row r="5" spans="1:33">
      <c r="A5" s="74"/>
      <c r="B5" s="141" t="s">
        <v>113</v>
      </c>
      <c r="C5" s="141"/>
      <c r="D5" s="141"/>
      <c r="E5" s="141"/>
      <c r="F5" s="142"/>
      <c r="G5" s="59" t="s">
        <v>114</v>
      </c>
      <c r="H5" s="75">
        <v>0</v>
      </c>
      <c r="I5" s="76">
        <v>5</v>
      </c>
      <c r="J5" s="76">
        <v>10</v>
      </c>
      <c r="K5" s="76">
        <v>15</v>
      </c>
      <c r="L5" s="76">
        <v>20</v>
      </c>
      <c r="M5" s="76">
        <v>25</v>
      </c>
      <c r="N5" s="76">
        <v>30</v>
      </c>
      <c r="O5" s="76">
        <v>35</v>
      </c>
      <c r="P5" s="76">
        <v>40</v>
      </c>
      <c r="Q5" s="76">
        <v>45</v>
      </c>
      <c r="R5" s="76">
        <v>50</v>
      </c>
      <c r="S5" s="76">
        <v>55</v>
      </c>
      <c r="T5" s="76">
        <v>60</v>
      </c>
      <c r="U5" s="76">
        <v>65</v>
      </c>
      <c r="V5" s="76">
        <v>70</v>
      </c>
      <c r="W5" s="76">
        <v>75</v>
      </c>
      <c r="X5" s="76">
        <v>80</v>
      </c>
      <c r="Y5" s="76">
        <v>85</v>
      </c>
      <c r="Z5" s="76">
        <v>90</v>
      </c>
      <c r="AA5" s="76">
        <v>95</v>
      </c>
      <c r="AB5" s="76">
        <v>100</v>
      </c>
      <c r="AC5" s="76">
        <v>105</v>
      </c>
      <c r="AD5" s="76">
        <v>110</v>
      </c>
      <c r="AE5" s="76">
        <v>115</v>
      </c>
      <c r="AF5" s="76">
        <v>120</v>
      </c>
      <c r="AG5" s="77"/>
    </row>
    <row r="6" spans="1:33" ht="17.25">
      <c r="A6" s="78"/>
      <c r="B6" s="143"/>
      <c r="C6" s="143"/>
      <c r="D6" s="143"/>
      <c r="E6" s="143"/>
      <c r="F6" s="144"/>
      <c r="G6" s="59" t="s">
        <v>115</v>
      </c>
      <c r="H6" s="75">
        <f>3600*H5*$B$3</f>
        <v>0</v>
      </c>
      <c r="I6" s="76">
        <f>3600*I5*$B$3</f>
        <v>1620</v>
      </c>
      <c r="J6" s="76">
        <f t="shared" ref="J6:O6" si="0">3600*J5*$B$3</f>
        <v>3240</v>
      </c>
      <c r="K6" s="76">
        <f t="shared" si="0"/>
        <v>4860</v>
      </c>
      <c r="L6" s="76">
        <f t="shared" si="0"/>
        <v>6480</v>
      </c>
      <c r="M6" s="76">
        <f t="shared" si="0"/>
        <v>8100</v>
      </c>
      <c r="N6" s="76">
        <f t="shared" si="0"/>
        <v>9720</v>
      </c>
      <c r="O6" s="76">
        <f t="shared" si="0"/>
        <v>11340</v>
      </c>
      <c r="P6" s="76">
        <f t="shared" ref="P6" si="1">3600*P5*$B$3</f>
        <v>12960</v>
      </c>
      <c r="Q6" s="76">
        <f t="shared" ref="Q6" si="2">3600*Q5*$B$3</f>
        <v>14580</v>
      </c>
      <c r="R6" s="76">
        <f t="shared" ref="R6" si="3">3600*R5*$B$3</f>
        <v>16200</v>
      </c>
      <c r="S6" s="76">
        <f t="shared" ref="S6" si="4">3600*S5*$B$3</f>
        <v>17820</v>
      </c>
      <c r="T6" s="76">
        <f t="shared" ref="T6" si="5">3600*T5*$B$3</f>
        <v>19440</v>
      </c>
      <c r="U6" s="76">
        <f t="shared" ref="U6" si="6">3600*U5*$B$3</f>
        <v>21060</v>
      </c>
      <c r="V6" s="76">
        <f t="shared" ref="V6" si="7">3600*V5*$B$3</f>
        <v>22680</v>
      </c>
      <c r="W6" s="76">
        <f t="shared" ref="W6" si="8">3600*W5*$B$3</f>
        <v>24300</v>
      </c>
      <c r="X6" s="76">
        <f t="shared" ref="X6" si="9">3600*X5*$B$3</f>
        <v>25920</v>
      </c>
      <c r="Y6" s="76">
        <f t="shared" ref="Y6" si="10">3600*Y5*$B$3</f>
        <v>27540</v>
      </c>
      <c r="Z6" s="76">
        <f t="shared" ref="Z6" si="11">3600*Z5*$B$3</f>
        <v>29160</v>
      </c>
      <c r="AA6" s="76">
        <f t="shared" ref="AA6" si="12">3600*AA5*$B$3</f>
        <v>30780</v>
      </c>
      <c r="AB6" s="76">
        <f t="shared" ref="AB6" si="13">3600*AB5*$B$3</f>
        <v>32400</v>
      </c>
      <c r="AC6" s="76">
        <f t="shared" ref="AC6" si="14">3600*AC5*$B$3</f>
        <v>34020</v>
      </c>
      <c r="AD6" s="76">
        <f t="shared" ref="AD6" si="15">3600*AD5*$B$3</f>
        <v>35640</v>
      </c>
      <c r="AE6" s="76">
        <f t="shared" ref="AE6" si="16">3600*AE5*$B$3</f>
        <v>37260</v>
      </c>
      <c r="AF6" s="76">
        <f t="shared" ref="AF6" si="17">3600*AF5*$B$3</f>
        <v>38880</v>
      </c>
      <c r="AG6" s="77"/>
    </row>
    <row r="7" spans="1:33" ht="18">
      <c r="A7" s="59" t="s">
        <v>116</v>
      </c>
      <c r="B7" s="79" t="s">
        <v>117</v>
      </c>
      <c r="C7" s="79" t="s">
        <v>118</v>
      </c>
      <c r="D7" s="79" t="s">
        <v>119</v>
      </c>
      <c r="E7" s="80" t="s">
        <v>120</v>
      </c>
      <c r="F7" s="80" t="s">
        <v>121</v>
      </c>
      <c r="G7" s="80" t="s">
        <v>122</v>
      </c>
      <c r="H7" s="81" t="s">
        <v>123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0" t="s">
        <v>124</v>
      </c>
    </row>
    <row r="8" spans="1:33">
      <c r="A8" s="59" t="s">
        <v>76</v>
      </c>
      <c r="B8" s="18">
        <f>ConstantSections!B4</f>
        <v>3.9391441387975283E-2</v>
      </c>
      <c r="C8" s="18">
        <v>0</v>
      </c>
      <c r="D8" s="18">
        <f>B8+C8</f>
        <v>3.9391441387975283E-2</v>
      </c>
      <c r="E8" s="83">
        <f>ConstantSections!B3</f>
        <v>0.09</v>
      </c>
      <c r="F8" s="83">
        <f t="shared" ref="F8:F12" si="18">POWER($B$3/E8,2)</f>
        <v>1</v>
      </c>
      <c r="G8" s="83">
        <f>D8*F8</f>
        <v>3.9391441387975283E-2</v>
      </c>
      <c r="H8" s="83">
        <f t="shared" ref="H8:H13" si="19">($B$2/2)*POWER($H$5,2)*G8</f>
        <v>0</v>
      </c>
      <c r="I8" s="83">
        <f>($B$2/2)*I5^2*$G8</f>
        <v>0.60318144625337156</v>
      </c>
      <c r="J8" s="83">
        <f t="shared" ref="J8:AF8" si="20">($B$2/2)*J5^2*$G8</f>
        <v>2.4127257850134862</v>
      </c>
      <c r="K8" s="83">
        <f t="shared" si="20"/>
        <v>5.4286330162803438</v>
      </c>
      <c r="L8" s="83">
        <f>($B$2/2)*L5^2*$G8</f>
        <v>9.6509031400539449</v>
      </c>
      <c r="M8" s="83">
        <f t="shared" si="20"/>
        <v>15.079536156334289</v>
      </c>
      <c r="N8" s="83">
        <f t="shared" si="20"/>
        <v>21.714532065121375</v>
      </c>
      <c r="O8" s="83">
        <f t="shared" si="20"/>
        <v>29.555890866415204</v>
      </c>
      <c r="P8" s="83">
        <f t="shared" si="20"/>
        <v>38.60361256021578</v>
      </c>
      <c r="Q8" s="83">
        <f t="shared" si="20"/>
        <v>48.857697146523094</v>
      </c>
      <c r="R8" s="83">
        <f t="shared" si="20"/>
        <v>60.318144625337155</v>
      </c>
      <c r="S8" s="83">
        <f t="shared" si="20"/>
        <v>72.984954996657962</v>
      </c>
      <c r="T8" s="83">
        <f t="shared" si="20"/>
        <v>86.858128260485501</v>
      </c>
      <c r="U8" s="83">
        <f t="shared" si="20"/>
        <v>101.93766441681979</v>
      </c>
      <c r="V8" s="83">
        <f t="shared" si="20"/>
        <v>118.22356346566082</v>
      </c>
      <c r="W8" s="83">
        <f t="shared" si="20"/>
        <v>135.71582540700862</v>
      </c>
      <c r="X8" s="83">
        <f t="shared" si="20"/>
        <v>154.41445024086312</v>
      </c>
      <c r="Y8" s="83">
        <f t="shared" si="20"/>
        <v>174.31943796722436</v>
      </c>
      <c r="Z8" s="83">
        <f t="shared" si="20"/>
        <v>195.43078858609238</v>
      </c>
      <c r="AA8" s="83">
        <f t="shared" si="20"/>
        <v>217.74850209746711</v>
      </c>
      <c r="AB8" s="83">
        <f t="shared" si="20"/>
        <v>241.27257850134862</v>
      </c>
      <c r="AC8" s="83">
        <f t="shared" si="20"/>
        <v>266.0030177977369</v>
      </c>
      <c r="AD8" s="83">
        <f t="shared" si="20"/>
        <v>291.93981998663185</v>
      </c>
      <c r="AE8" s="83">
        <f t="shared" si="20"/>
        <v>319.08298506803357</v>
      </c>
      <c r="AF8" s="83">
        <f t="shared" si="20"/>
        <v>347.432513041942</v>
      </c>
      <c r="AG8" s="126">
        <f>N8/N$14</f>
        <v>0.2290313503579918</v>
      </c>
    </row>
    <row r="9" spans="1:33">
      <c r="A9" s="59" t="s">
        <v>95</v>
      </c>
      <c r="B9" s="18">
        <f>Diffusers!B19</f>
        <v>2.4620973796916235E-2</v>
      </c>
      <c r="C9" s="18">
        <f>Diffusers!B17</f>
        <v>6.1295069350926462E-2</v>
      </c>
      <c r="D9" s="18">
        <f t="shared" ref="D9:D12" si="21">B9+C9</f>
        <v>8.5916043147842694E-2</v>
      </c>
      <c r="E9" s="83">
        <f>Diffusers!B3</f>
        <v>0.09</v>
      </c>
      <c r="F9" s="83">
        <f t="shared" si="18"/>
        <v>1</v>
      </c>
      <c r="G9" s="83">
        <f t="shared" ref="G9:G12" si="22">D9*F9</f>
        <v>8.5916043147842694E-2</v>
      </c>
      <c r="H9" s="83">
        <f t="shared" si="19"/>
        <v>0</v>
      </c>
      <c r="I9" s="83">
        <f>($B$2/2)*I5^2*$G9</f>
        <v>1.3155894107013415</v>
      </c>
      <c r="J9" s="83">
        <f t="shared" ref="J9:AF9" si="23">($B$2/2)*J5^2*$G9</f>
        <v>5.262357642805366</v>
      </c>
      <c r="K9" s="83">
        <f t="shared" si="23"/>
        <v>11.840304696312071</v>
      </c>
      <c r="L9" s="83">
        <f t="shared" si="23"/>
        <v>21.049430571221464</v>
      </c>
      <c r="M9" s="83">
        <f t="shared" si="23"/>
        <v>32.889735267533531</v>
      </c>
      <c r="N9" s="83">
        <f t="shared" si="23"/>
        <v>47.361218785248283</v>
      </c>
      <c r="O9" s="83">
        <f t="shared" si="23"/>
        <v>64.463881124365727</v>
      </c>
      <c r="P9" s="83">
        <f t="shared" si="23"/>
        <v>84.197722284885856</v>
      </c>
      <c r="Q9" s="83">
        <f t="shared" si="23"/>
        <v>106.56274226680864</v>
      </c>
      <c r="R9" s="83">
        <f t="shared" si="23"/>
        <v>131.55894107013413</v>
      </c>
      <c r="S9" s="83">
        <f t="shared" si="23"/>
        <v>159.18631869486231</v>
      </c>
      <c r="T9" s="83">
        <f t="shared" si="23"/>
        <v>189.44487514099313</v>
      </c>
      <c r="U9" s="83">
        <f t="shared" si="23"/>
        <v>222.33461040852666</v>
      </c>
      <c r="V9" s="83">
        <f t="shared" si="23"/>
        <v>257.85552449746291</v>
      </c>
      <c r="W9" s="83">
        <f t="shared" si="23"/>
        <v>296.00761740780183</v>
      </c>
      <c r="X9" s="83">
        <f t="shared" si="23"/>
        <v>336.79088913954342</v>
      </c>
      <c r="Y9" s="83">
        <f t="shared" si="23"/>
        <v>380.20533969268763</v>
      </c>
      <c r="Z9" s="83">
        <f t="shared" si="23"/>
        <v>426.25096906723456</v>
      </c>
      <c r="AA9" s="83">
        <f t="shared" si="23"/>
        <v>474.92777726318417</v>
      </c>
      <c r="AB9" s="83">
        <f t="shared" si="23"/>
        <v>526.2357642805365</v>
      </c>
      <c r="AC9" s="83">
        <f t="shared" si="23"/>
        <v>580.17493011929162</v>
      </c>
      <c r="AD9" s="83">
        <f t="shared" si="23"/>
        <v>636.74527477944923</v>
      </c>
      <c r="AE9" s="83">
        <f t="shared" si="23"/>
        <v>695.94679826100958</v>
      </c>
      <c r="AF9" s="83">
        <f t="shared" si="23"/>
        <v>757.77950056397253</v>
      </c>
      <c r="AG9" s="126">
        <f t="shared" ref="AG9:AG13" si="24">N9/N$14</f>
        <v>0.49953661725038284</v>
      </c>
    </row>
    <row r="10" spans="1:33">
      <c r="A10" s="59" t="s">
        <v>87</v>
      </c>
      <c r="B10" s="18">
        <f>ConstantSections!B14</f>
        <v>1.5249783441000904E-3</v>
      </c>
      <c r="C10" s="18">
        <v>0</v>
      </c>
      <c r="D10" s="18">
        <f t="shared" si="21"/>
        <v>1.5249783441000904E-3</v>
      </c>
      <c r="E10" s="83">
        <f>ConstantSections!B13</f>
        <v>0.45</v>
      </c>
      <c r="F10" s="83">
        <f>POWER($B$3/E10,2)</f>
        <v>3.9999999999999994E-2</v>
      </c>
      <c r="G10" s="83">
        <f t="shared" si="22"/>
        <v>6.0999133764003607E-5</v>
      </c>
      <c r="H10" s="83">
        <f t="shared" si="19"/>
        <v>0</v>
      </c>
      <c r="I10" s="83">
        <f t="shared" ref="I10:AF10" si="25">($B$2/2)*I5^2*$G10</f>
        <v>9.3404923576130539E-4</v>
      </c>
      <c r="J10" s="83">
        <f t="shared" si="25"/>
        <v>3.7361969430452216E-3</v>
      </c>
      <c r="K10" s="83">
        <f t="shared" si="25"/>
        <v>8.406443121851747E-3</v>
      </c>
      <c r="L10" s="83">
        <f t="shared" si="25"/>
        <v>1.4944787772180886E-2</v>
      </c>
      <c r="M10" s="83">
        <f t="shared" si="25"/>
        <v>2.335123089403263E-2</v>
      </c>
      <c r="N10" s="83">
        <f t="shared" si="25"/>
        <v>3.3625772487406988E-2</v>
      </c>
      <c r="O10" s="83">
        <f t="shared" si="25"/>
        <v>4.5768412552303954E-2</v>
      </c>
      <c r="P10" s="83">
        <f t="shared" si="25"/>
        <v>5.9779151088723545E-2</v>
      </c>
      <c r="Q10" s="83">
        <f t="shared" si="25"/>
        <v>7.5657988096665726E-2</v>
      </c>
      <c r="R10" s="83">
        <f t="shared" si="25"/>
        <v>9.3404923576130519E-2</v>
      </c>
      <c r="S10" s="83">
        <f t="shared" si="25"/>
        <v>0.11301995752711795</v>
      </c>
      <c r="T10" s="83">
        <f t="shared" si="25"/>
        <v>0.13450308994962795</v>
      </c>
      <c r="U10" s="83">
        <f t="shared" si="25"/>
        <v>0.15785432084366058</v>
      </c>
      <c r="V10" s="83">
        <f t="shared" si="25"/>
        <v>0.18307365020921582</v>
      </c>
      <c r="W10" s="83">
        <f t="shared" si="25"/>
        <v>0.21016107804629369</v>
      </c>
      <c r="X10" s="83">
        <f t="shared" si="25"/>
        <v>0.23911660435489418</v>
      </c>
      <c r="Y10" s="83">
        <f t="shared" si="25"/>
        <v>0.2699402291350172</v>
      </c>
      <c r="Z10" s="83">
        <f t="shared" si="25"/>
        <v>0.30263195238666291</v>
      </c>
      <c r="AA10" s="83">
        <f t="shared" si="25"/>
        <v>0.3371917741098312</v>
      </c>
      <c r="AB10" s="83">
        <f t="shared" si="25"/>
        <v>0.37361969430452208</v>
      </c>
      <c r="AC10" s="83">
        <f t="shared" si="25"/>
        <v>0.41191571297073565</v>
      </c>
      <c r="AD10" s="83">
        <f t="shared" si="25"/>
        <v>0.4520798301084718</v>
      </c>
      <c r="AE10" s="83">
        <f t="shared" si="25"/>
        <v>0.49411204571773054</v>
      </c>
      <c r="AF10" s="83">
        <f t="shared" si="25"/>
        <v>0.53801235979851181</v>
      </c>
      <c r="AG10" s="126">
        <f t="shared" si="24"/>
        <v>3.5466369049654136E-4</v>
      </c>
    </row>
    <row r="11" spans="1:33">
      <c r="A11" s="59" t="s">
        <v>94</v>
      </c>
      <c r="B11" s="18">
        <f>ConstantSections!B24</f>
        <v>1.1037104678900787E-2</v>
      </c>
      <c r="C11" s="18">
        <v>0</v>
      </c>
      <c r="D11" s="18">
        <f t="shared" si="21"/>
        <v>1.1037104678900787E-2</v>
      </c>
      <c r="E11" s="83">
        <f>ConstantSections!B23</f>
        <v>0.31011868084800209</v>
      </c>
      <c r="F11" s="83">
        <f t="shared" si="18"/>
        <v>8.4222700607316514E-2</v>
      </c>
      <c r="G11" s="83">
        <f t="shared" si="22"/>
        <v>9.295747629426733E-4</v>
      </c>
      <c r="H11" s="83">
        <f t="shared" si="19"/>
        <v>0</v>
      </c>
      <c r="I11" s="83">
        <f t="shared" ref="I11:AF11" si="26">($B$2/2)*I5^2*$G11</f>
        <v>1.4234113557559687E-2</v>
      </c>
      <c r="J11" s="83">
        <f t="shared" si="26"/>
        <v>5.6936454230238749E-2</v>
      </c>
      <c r="K11" s="83">
        <f t="shared" si="26"/>
        <v>0.12810702201803717</v>
      </c>
      <c r="L11" s="83">
        <f t="shared" si="26"/>
        <v>0.227745816920955</v>
      </c>
      <c r="M11" s="83">
        <f t="shared" si="26"/>
        <v>0.35585283893899211</v>
      </c>
      <c r="N11" s="83">
        <f t="shared" si="26"/>
        <v>0.51242808807214868</v>
      </c>
      <c r="O11" s="83">
        <f t="shared" si="26"/>
        <v>0.69747156432042456</v>
      </c>
      <c r="P11" s="83">
        <f t="shared" si="26"/>
        <v>0.91098326768381999</v>
      </c>
      <c r="Q11" s="83">
        <f t="shared" si="26"/>
        <v>1.1529631981623345</v>
      </c>
      <c r="R11" s="83">
        <f t="shared" si="26"/>
        <v>1.4234113557559684</v>
      </c>
      <c r="S11" s="83">
        <f t="shared" si="26"/>
        <v>1.7223277404647221</v>
      </c>
      <c r="T11" s="83">
        <f t="shared" si="26"/>
        <v>2.0497123522885947</v>
      </c>
      <c r="U11" s="83">
        <f t="shared" si="26"/>
        <v>2.4055651912275868</v>
      </c>
      <c r="V11" s="83">
        <f t="shared" si="26"/>
        <v>2.7898862572816983</v>
      </c>
      <c r="W11" s="83">
        <f t="shared" si="26"/>
        <v>3.2026755504509294</v>
      </c>
      <c r="X11" s="83">
        <f t="shared" si="26"/>
        <v>3.6439330707352799</v>
      </c>
      <c r="Y11" s="83">
        <f t="shared" si="26"/>
        <v>4.1136588181347493</v>
      </c>
      <c r="Z11" s="83">
        <f t="shared" si="26"/>
        <v>4.611852792649338</v>
      </c>
      <c r="AA11" s="83">
        <f t="shared" si="26"/>
        <v>5.1385149942790465</v>
      </c>
      <c r="AB11" s="83">
        <f t="shared" si="26"/>
        <v>5.6936454230238738</v>
      </c>
      <c r="AC11" s="83">
        <f t="shared" si="26"/>
        <v>6.2772440788838217</v>
      </c>
      <c r="AD11" s="83">
        <f t="shared" si="26"/>
        <v>6.8893109618588886</v>
      </c>
      <c r="AE11" s="83">
        <f t="shared" si="26"/>
        <v>7.5298460719490743</v>
      </c>
      <c r="AF11" s="83">
        <f t="shared" si="26"/>
        <v>8.1988494091543789</v>
      </c>
      <c r="AG11" s="126">
        <f t="shared" si="24"/>
        <v>5.4047720955055336E-3</v>
      </c>
    </row>
    <row r="12" spans="1:33">
      <c r="A12" s="59" t="s">
        <v>4</v>
      </c>
      <c r="B12" s="18">
        <f>[2]Contraction!B15</f>
        <v>5.6934236349029908E-3</v>
      </c>
      <c r="C12" s="18">
        <v>0</v>
      </c>
      <c r="D12" s="18">
        <f t="shared" si="21"/>
        <v>5.6934236349029908E-3</v>
      </c>
      <c r="E12" s="83">
        <f>[2]Contraction!B3</f>
        <v>0.09</v>
      </c>
      <c r="F12" s="83">
        <f t="shared" si="18"/>
        <v>1</v>
      </c>
      <c r="G12" s="83">
        <f t="shared" si="22"/>
        <v>5.6934236349029908E-3</v>
      </c>
      <c r="H12" s="83">
        <f t="shared" si="19"/>
        <v>0</v>
      </c>
      <c r="I12" s="83">
        <f t="shared" ref="I12:I13" si="27">($B$2/2)*5^2*$G12</f>
        <v>8.7180549409452052E-2</v>
      </c>
      <c r="J12" s="83">
        <f t="shared" ref="J12:J13" si="28">($B$2/2)*10^2*$G12</f>
        <v>0.34872219763780821</v>
      </c>
      <c r="K12" s="83">
        <f t="shared" ref="K12:K13" si="29">($B$2/2)*15^2*$G12</f>
        <v>0.78462494468506838</v>
      </c>
      <c r="L12" s="83">
        <f t="shared" ref="L12:L13" si="30">($B$2/2)*20^2*$G12</f>
        <v>1.3948887905512328</v>
      </c>
      <c r="M12" s="83">
        <f t="shared" ref="M12:M13" si="31">($B$2/2)*25^2*$G12</f>
        <v>2.1795137352363012</v>
      </c>
      <c r="N12" s="83">
        <f t="shared" ref="N12:N13" si="32">($B$2/2)*30^2*$G12</f>
        <v>3.1384997787402735</v>
      </c>
      <c r="O12" s="83">
        <f t="shared" ref="O12:O13" si="33">($B$2/2)*35^2*$G12</f>
        <v>4.2718469210631502</v>
      </c>
      <c r="P12" s="83">
        <f t="shared" ref="P12:P13" si="34">($B$2/2)*40^2*$G12</f>
        <v>5.5795551622049313</v>
      </c>
      <c r="Q12" s="83">
        <f t="shared" ref="Q12:Q13" si="35">($B$2/2)*45^2*$G12</f>
        <v>7.0616245021656159</v>
      </c>
      <c r="R12" s="83">
        <f t="shared" ref="R12:R13" si="36">($B$2/2)*50^2*$G12</f>
        <v>8.7180549409452048</v>
      </c>
      <c r="S12" s="83">
        <f t="shared" ref="S12:S13" si="37">($B$2/2)*55^2*$G12</f>
        <v>10.548846478543698</v>
      </c>
      <c r="T12" s="83">
        <f t="shared" ref="T12:T13" si="38">($B$2/2)*60^2*$G12</f>
        <v>12.553999114961094</v>
      </c>
      <c r="U12" s="83">
        <f t="shared" ref="U12:U13" si="39">($B$2/2)*65^2*$G12</f>
        <v>14.733512850197396</v>
      </c>
      <c r="V12" s="83">
        <f t="shared" ref="V12:V13" si="40">($B$2/2)*70^2*$G12</f>
        <v>17.087387684252601</v>
      </c>
      <c r="W12" s="83">
        <f t="shared" ref="W12:W13" si="41">($B$2/2)*75^2*$G12</f>
        <v>19.615623617126712</v>
      </c>
      <c r="X12" s="83">
        <f t="shared" ref="X12:X13" si="42">($B$2/2)*80^2*$G12</f>
        <v>22.318220648819725</v>
      </c>
      <c r="Y12" s="83">
        <f t="shared" ref="Y12:Y13" si="43">($B$2/2)*85^2*$G12</f>
        <v>25.195178779331641</v>
      </c>
      <c r="Z12" s="83">
        <f t="shared" ref="Z12:Z13" si="44">($B$2/2)*90^2*$G12</f>
        <v>28.246498008662464</v>
      </c>
      <c r="AA12" s="83">
        <f t="shared" ref="AA12:AA13" si="45">($B$2/2)*95^2*$G12</f>
        <v>31.472178336812188</v>
      </c>
      <c r="AB12" s="83">
        <f t="shared" ref="AB12:AB13" si="46">($B$2/2)*100^2*$G12</f>
        <v>34.872219763780819</v>
      </c>
      <c r="AC12" s="83">
        <f t="shared" ref="AC12:AC13" si="47">($B$2/2)*105^2*$G12</f>
        <v>38.44662228956836</v>
      </c>
      <c r="AD12" s="83">
        <f t="shared" ref="AD12:AD13" si="48">($B$2/2)*110^2*$G12</f>
        <v>42.195385914174793</v>
      </c>
      <c r="AE12" s="83">
        <f t="shared" ref="AE12:AE13" si="49">($B$2/2)*115^2*$G12</f>
        <v>46.118510637600139</v>
      </c>
      <c r="AF12" s="83">
        <f t="shared" ref="AF12:AF13" si="50">($B$2/2)*120^2*$G12</f>
        <v>50.215996459844376</v>
      </c>
      <c r="AG12" s="126">
        <f t="shared" si="24"/>
        <v>3.3102939555291103E-2</v>
      </c>
    </row>
    <row r="13" spans="1:33">
      <c r="A13" s="70" t="s">
        <v>165</v>
      </c>
      <c r="B13" s="76"/>
      <c r="C13" s="76"/>
      <c r="D13" s="99">
        <v>1</v>
      </c>
      <c r="E13" s="84">
        <f>ConstantSections!B13</f>
        <v>0.45</v>
      </c>
      <c r="F13" s="85">
        <f>(ConstantSections!B3/E13)^2</f>
        <v>3.9999999999999994E-2</v>
      </c>
      <c r="G13" s="86">
        <f>D13*F13</f>
        <v>3.9999999999999994E-2</v>
      </c>
      <c r="H13" s="86">
        <f t="shared" si="19"/>
        <v>0</v>
      </c>
      <c r="I13" s="86">
        <f t="shared" si="27"/>
        <v>0.61249999999999993</v>
      </c>
      <c r="J13" s="86">
        <f t="shared" si="28"/>
        <v>2.4499999999999997</v>
      </c>
      <c r="K13" s="86">
        <f t="shared" si="29"/>
        <v>5.5124999999999993</v>
      </c>
      <c r="L13" s="86">
        <f t="shared" si="30"/>
        <v>9.7999999999999989</v>
      </c>
      <c r="M13" s="86">
        <f t="shared" si="31"/>
        <v>15.312499999999998</v>
      </c>
      <c r="N13" s="86">
        <f t="shared" si="32"/>
        <v>22.049999999999997</v>
      </c>
      <c r="O13" s="86">
        <f t="shared" si="33"/>
        <v>30.012499999999996</v>
      </c>
      <c r="P13" s="86">
        <f t="shared" si="34"/>
        <v>39.199999999999996</v>
      </c>
      <c r="Q13" s="86">
        <f t="shared" si="35"/>
        <v>49.61249999999999</v>
      </c>
      <c r="R13" s="86">
        <f t="shared" si="36"/>
        <v>61.249999999999993</v>
      </c>
      <c r="S13" s="86">
        <f t="shared" si="37"/>
        <v>74.112499999999997</v>
      </c>
      <c r="T13" s="86">
        <f t="shared" si="38"/>
        <v>88.199999999999989</v>
      </c>
      <c r="U13" s="86">
        <f t="shared" si="39"/>
        <v>103.51249999999999</v>
      </c>
      <c r="V13" s="86">
        <f t="shared" si="40"/>
        <v>120.04999999999998</v>
      </c>
      <c r="W13" s="86">
        <f t="shared" si="41"/>
        <v>137.8125</v>
      </c>
      <c r="X13" s="86">
        <f t="shared" si="42"/>
        <v>156.79999999999998</v>
      </c>
      <c r="Y13" s="86">
        <f t="shared" si="43"/>
        <v>177.01249999999996</v>
      </c>
      <c r="Z13" s="86">
        <f t="shared" si="44"/>
        <v>198.44999999999996</v>
      </c>
      <c r="AA13" s="86">
        <f t="shared" si="45"/>
        <v>221.11249999999995</v>
      </c>
      <c r="AB13" s="86">
        <f t="shared" si="46"/>
        <v>244.99999999999997</v>
      </c>
      <c r="AC13" s="86">
        <f t="shared" si="47"/>
        <v>270.11250000000001</v>
      </c>
      <c r="AD13" s="86">
        <f t="shared" si="48"/>
        <v>296.45</v>
      </c>
      <c r="AE13" s="86">
        <f t="shared" si="49"/>
        <v>324.01249999999999</v>
      </c>
      <c r="AF13" s="86">
        <f t="shared" si="50"/>
        <v>352.79999999999995</v>
      </c>
      <c r="AG13" s="126">
        <f t="shared" si="24"/>
        <v>0.23256965705033211</v>
      </c>
    </row>
    <row r="14" spans="1:33" s="30" customFormat="1">
      <c r="A14" s="145" t="s">
        <v>113</v>
      </c>
      <c r="B14" s="145"/>
      <c r="C14" s="145"/>
      <c r="D14" s="145"/>
      <c r="E14" s="145"/>
      <c r="F14" s="145"/>
      <c r="G14" s="87">
        <f>SUM(G8:G13)</f>
        <v>0.17199148206742765</v>
      </c>
      <c r="H14" s="87">
        <f t="shared" ref="H14:AF14" si="51">SUM(H8:H13)</f>
        <v>0</v>
      </c>
      <c r="I14" s="87">
        <f t="shared" si="51"/>
        <v>2.633619569157486</v>
      </c>
      <c r="J14" s="87">
        <f t="shared" si="51"/>
        <v>10.534478276629944</v>
      </c>
      <c r="K14" s="87">
        <f t="shared" si="51"/>
        <v>23.702576122417373</v>
      </c>
      <c r="L14" s="87">
        <f t="shared" si="51"/>
        <v>42.137913106519775</v>
      </c>
      <c r="M14" s="87">
        <f t="shared" si="51"/>
        <v>65.840489228937145</v>
      </c>
      <c r="N14" s="87">
        <f t="shared" si="51"/>
        <v>94.810304489669491</v>
      </c>
      <c r="O14" s="87">
        <f t="shared" si="51"/>
        <v>129.04735888871679</v>
      </c>
      <c r="P14" s="87">
        <f t="shared" si="51"/>
        <v>168.5516524260791</v>
      </c>
      <c r="Q14" s="87">
        <f t="shared" si="51"/>
        <v>213.32318510175634</v>
      </c>
      <c r="R14" s="87">
        <f t="shared" si="51"/>
        <v>263.36195691574858</v>
      </c>
      <c r="S14" s="87">
        <f t="shared" si="51"/>
        <v>318.66796786805583</v>
      </c>
      <c r="T14" s="87">
        <f t="shared" si="51"/>
        <v>379.24121795867796</v>
      </c>
      <c r="U14" s="87">
        <f t="shared" si="51"/>
        <v>445.08170718761511</v>
      </c>
      <c r="V14" s="87">
        <f t="shared" si="51"/>
        <v>516.18943555486715</v>
      </c>
      <c r="W14" s="87">
        <f t="shared" si="51"/>
        <v>592.56440306043442</v>
      </c>
      <c r="X14" s="87">
        <f t="shared" si="51"/>
        <v>674.20660970431641</v>
      </c>
      <c r="Y14" s="87">
        <f t="shared" si="51"/>
        <v>761.11605548651323</v>
      </c>
      <c r="Z14" s="87">
        <f t="shared" si="51"/>
        <v>853.29274040702535</v>
      </c>
      <c r="AA14" s="87">
        <f t="shared" si="51"/>
        <v>950.73666446585219</v>
      </c>
      <c r="AB14" s="87">
        <f t="shared" si="51"/>
        <v>1053.4478276629943</v>
      </c>
      <c r="AC14" s="87">
        <f t="shared" si="51"/>
        <v>1161.4262299984514</v>
      </c>
      <c r="AD14" s="87">
        <f t="shared" si="51"/>
        <v>1274.6718714722233</v>
      </c>
      <c r="AE14" s="87">
        <f t="shared" si="51"/>
        <v>1393.18475208431</v>
      </c>
      <c r="AF14" s="87">
        <f t="shared" si="51"/>
        <v>1516.9648718347119</v>
      </c>
      <c r="AG14" s="88"/>
    </row>
    <row r="15" spans="1:33" s="30" customFormat="1">
      <c r="B15" s="89"/>
      <c r="C15" s="89"/>
      <c r="D15" s="89"/>
      <c r="E15" s="90"/>
      <c r="F15" s="90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2"/>
    </row>
    <row r="16" spans="1:33" s="30" customFormat="1">
      <c r="A16" s="145" t="s">
        <v>125</v>
      </c>
      <c r="B16" s="145"/>
      <c r="C16" s="145"/>
      <c r="D16" s="145"/>
      <c r="E16" s="145"/>
      <c r="F16" s="145"/>
      <c r="G16" s="91"/>
      <c r="H16" s="83">
        <f>H14*9.81</f>
        <v>0</v>
      </c>
      <c r="I16" s="83">
        <f t="shared" ref="I16:AF16" si="52">I14*9.81</f>
        <v>25.835807973434939</v>
      </c>
      <c r="J16" s="83">
        <f t="shared" si="52"/>
        <v>103.34323189373976</v>
      </c>
      <c r="K16" s="83">
        <f t="shared" si="52"/>
        <v>232.52227176091444</v>
      </c>
      <c r="L16" s="83">
        <f t="shared" si="52"/>
        <v>413.37292757495902</v>
      </c>
      <c r="M16" s="83">
        <f t="shared" si="52"/>
        <v>645.89519933587337</v>
      </c>
      <c r="N16" s="83">
        <f t="shared" si="52"/>
        <v>930.08908704365774</v>
      </c>
      <c r="O16" s="83">
        <f t="shared" si="52"/>
        <v>1265.9545906983117</v>
      </c>
      <c r="P16" s="83">
        <f t="shared" si="52"/>
        <v>1653.4917102998361</v>
      </c>
      <c r="Q16" s="83">
        <f t="shared" si="52"/>
        <v>2092.7004458482297</v>
      </c>
      <c r="R16" s="83">
        <f t="shared" si="52"/>
        <v>2583.5807973434935</v>
      </c>
      <c r="S16" s="83">
        <f t="shared" si="52"/>
        <v>3126.1327647856278</v>
      </c>
      <c r="T16" s="83">
        <f t="shared" si="52"/>
        <v>3720.356348174631</v>
      </c>
      <c r="U16" s="83">
        <f t="shared" si="52"/>
        <v>4366.2515475105047</v>
      </c>
      <c r="V16" s="83">
        <f t="shared" si="52"/>
        <v>5063.8183627932467</v>
      </c>
      <c r="W16" s="83">
        <f t="shared" si="52"/>
        <v>5813.0567940228621</v>
      </c>
      <c r="X16" s="83">
        <f t="shared" si="52"/>
        <v>6613.9668411993443</v>
      </c>
      <c r="Y16" s="83">
        <f t="shared" si="52"/>
        <v>7466.5485043226954</v>
      </c>
      <c r="Z16" s="83">
        <f t="shared" si="52"/>
        <v>8370.8017833929189</v>
      </c>
      <c r="AA16" s="83">
        <f t="shared" si="52"/>
        <v>9326.7266784100102</v>
      </c>
      <c r="AB16" s="83">
        <f t="shared" si="52"/>
        <v>10334.323189373974</v>
      </c>
      <c r="AC16" s="83">
        <f t="shared" si="52"/>
        <v>11393.591316284808</v>
      </c>
      <c r="AD16" s="83">
        <f t="shared" si="52"/>
        <v>12504.531059142511</v>
      </c>
      <c r="AE16" s="83">
        <f t="shared" si="52"/>
        <v>13667.142417947081</v>
      </c>
      <c r="AF16" s="83">
        <f t="shared" si="52"/>
        <v>14881.425392698524</v>
      </c>
      <c r="AG16" s="91"/>
    </row>
    <row r="17" spans="1:33">
      <c r="B17" s="93"/>
      <c r="C17" s="93"/>
      <c r="D17" s="93"/>
      <c r="E17" s="94"/>
      <c r="F17" s="93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</row>
    <row r="18" spans="1:33">
      <c r="A18" t="s">
        <v>163</v>
      </c>
      <c r="B18" s="17" t="s">
        <v>126</v>
      </c>
      <c r="D18" s="92"/>
      <c r="E18" s="95" t="s">
        <v>127</v>
      </c>
      <c r="G18" s="96"/>
      <c r="H18" s="97">
        <f>H14*ConstantSections!$B$3*Control!$C$21/1000</f>
        <v>0</v>
      </c>
      <c r="I18" s="97">
        <f>I14*ConstantSections!$B$3*Control!$C$21/1000</f>
        <v>7.1107728367252121E-3</v>
      </c>
      <c r="J18" s="97">
        <f>J14*ConstantSections!$B$3*Control!$C$21/1000</f>
        <v>2.8443091346900849E-2</v>
      </c>
      <c r="K18" s="97">
        <f>K14*ConstantSections!$B$3*Control!$C$21/1000</f>
        <v>6.3996955530526908E-2</v>
      </c>
      <c r="L18" s="97">
        <f>L14*ConstantSections!$B$3*Control!$C$21/1000</f>
        <v>0.11377236538760339</v>
      </c>
      <c r="M18" s="97">
        <f>M14*ConstantSections!$B$3*Control!$C$21/1000</f>
        <v>0.1777693209181303</v>
      </c>
      <c r="N18" s="97">
        <f>N14*ConstantSections!$B$3*Control!$C$21/1000</f>
        <v>0.25598782212210763</v>
      </c>
      <c r="O18" s="97">
        <f>O14*ConstantSections!$B$3*Control!$C$21/1000</f>
        <v>0.34842786899953532</v>
      </c>
      <c r="P18" s="97">
        <f>P14*ConstantSections!$B$3*Control!$C$21/1000</f>
        <v>0.45508946155041358</v>
      </c>
      <c r="Q18" s="97">
        <f>Q14*ConstantSections!$B$3*Control!$C$21/1000</f>
        <v>0.57597259977474213</v>
      </c>
      <c r="R18" s="97">
        <f>R14*ConstantSections!$B$3*Control!$C$21/1000</f>
        <v>0.71107728367252121</v>
      </c>
      <c r="S18" s="97">
        <f>S14*ConstantSections!$B$3*Control!$C$21/1000</f>
        <v>0.86040351324375064</v>
      </c>
      <c r="T18" s="97">
        <f>T14*ConstantSections!$B$3*Control!$C$21/1000</f>
        <v>1.0239512884884305</v>
      </c>
      <c r="U18" s="97">
        <f>U14*ConstantSections!$B$3*Control!$C$21/1000</f>
        <v>1.2017206094065609</v>
      </c>
      <c r="V18" s="97">
        <f>V14*ConstantSections!$B$3*Control!$C$21/1000</f>
        <v>1.3937114759981413</v>
      </c>
      <c r="W18" s="97">
        <f>W14*ConstantSections!$B$3*Control!$C$21/1000</f>
        <v>1.599923888263173</v>
      </c>
      <c r="X18" s="97">
        <f>X14*ConstantSections!$B$3*Control!$C$21/1000</f>
        <v>1.8203578462016543</v>
      </c>
      <c r="Y18" s="97">
        <f>Y14*ConstantSections!$B$3*Control!$C$21/1000</f>
        <v>2.0550133498135854</v>
      </c>
      <c r="Z18" s="97">
        <f>Z14*ConstantSections!$B$3*Control!$C$21/1000</f>
        <v>2.3038903990989685</v>
      </c>
      <c r="AA18" s="97">
        <f>AA14*ConstantSections!$B$3*Control!$C$21/1000</f>
        <v>2.5669889940578003</v>
      </c>
      <c r="AB18" s="97">
        <f>AB14*ConstantSections!$B$3*Control!$C$21/1000</f>
        <v>2.8443091346900848</v>
      </c>
      <c r="AC18" s="97">
        <f>AC14*ConstantSections!$B$3*Control!$C$21/1000</f>
        <v>3.1358508209958189</v>
      </c>
      <c r="AD18" s="97">
        <f>AD14*ConstantSections!$B$3*Control!$C$21/1000</f>
        <v>3.4416140529750026</v>
      </c>
      <c r="AE18" s="97">
        <f>AE14*ConstantSections!$B$3*Control!$C$21/1000</f>
        <v>3.7615988306276371</v>
      </c>
      <c r="AF18" s="97">
        <f>AF14*ConstantSections!$B$3*Control!$C$21/1000</f>
        <v>4.0958051539537221</v>
      </c>
      <c r="AG18" s="73"/>
    </row>
    <row r="19" spans="1:33">
      <c r="A19" t="s">
        <v>163</v>
      </c>
      <c r="B19" s="17" t="s">
        <v>128</v>
      </c>
      <c r="C19" s="17" t="s">
        <v>164</v>
      </c>
      <c r="D19" s="100">
        <v>0.7</v>
      </c>
      <c r="E19" s="95" t="s">
        <v>127</v>
      </c>
      <c r="G19" s="71"/>
      <c r="H19" s="98">
        <f>H18/$D$19</f>
        <v>0</v>
      </c>
      <c r="I19" s="98">
        <f t="shared" ref="I19:AF19" si="53">I18/$D$19</f>
        <v>1.0158246909607446E-2</v>
      </c>
      <c r="J19" s="98">
        <f t="shared" si="53"/>
        <v>4.0632987638429784E-2</v>
      </c>
      <c r="K19" s="98">
        <f t="shared" si="53"/>
        <v>9.1424222186467022E-2</v>
      </c>
      <c r="L19" s="98">
        <f t="shared" si="53"/>
        <v>0.16253195055371913</v>
      </c>
      <c r="M19" s="98">
        <f t="shared" si="53"/>
        <v>0.25395617274018617</v>
      </c>
      <c r="N19" s="98">
        <f t="shared" ref="N19:W19" si="54">N18/$D$19</f>
        <v>0.36569688874586809</v>
      </c>
      <c r="O19" s="98">
        <f t="shared" si="54"/>
        <v>0.49775409857076475</v>
      </c>
      <c r="P19" s="98">
        <f t="shared" si="54"/>
        <v>0.65012780221487654</v>
      </c>
      <c r="Q19" s="98">
        <f t="shared" si="54"/>
        <v>0.82281799967820313</v>
      </c>
      <c r="R19" s="98">
        <f t="shared" si="54"/>
        <v>1.0158246909607447</v>
      </c>
      <c r="S19" s="98">
        <f t="shared" si="54"/>
        <v>1.229147876062501</v>
      </c>
      <c r="T19" s="98">
        <f t="shared" si="54"/>
        <v>1.4627875549834723</v>
      </c>
      <c r="U19" s="98">
        <f t="shared" si="54"/>
        <v>1.7167437277236586</v>
      </c>
      <c r="V19" s="98">
        <f t="shared" si="54"/>
        <v>1.991016394283059</v>
      </c>
      <c r="W19" s="98">
        <f t="shared" si="54"/>
        <v>2.285605554661676</v>
      </c>
      <c r="X19" s="98">
        <f t="shared" si="53"/>
        <v>2.6005112088595062</v>
      </c>
      <c r="Y19" s="98">
        <f t="shared" si="53"/>
        <v>2.9357333568765509</v>
      </c>
      <c r="Z19" s="98">
        <f t="shared" si="53"/>
        <v>3.2912719987128125</v>
      </c>
      <c r="AA19" s="98">
        <f t="shared" si="53"/>
        <v>3.6671271343682865</v>
      </c>
      <c r="AB19" s="98">
        <f t="shared" si="53"/>
        <v>4.0632987638429787</v>
      </c>
      <c r="AC19" s="98">
        <f t="shared" si="53"/>
        <v>4.4797868871368847</v>
      </c>
      <c r="AD19" s="98">
        <f t="shared" si="53"/>
        <v>4.9165915042500039</v>
      </c>
      <c r="AE19" s="98">
        <f t="shared" si="53"/>
        <v>5.3737126151823391</v>
      </c>
      <c r="AF19" s="98">
        <f t="shared" si="53"/>
        <v>5.8511502199338894</v>
      </c>
    </row>
    <row r="20" spans="1:33">
      <c r="G20" s="71"/>
    </row>
    <row r="21" spans="1:33">
      <c r="G21" s="71"/>
    </row>
    <row r="22" spans="1:33">
      <c r="G22" s="71"/>
    </row>
    <row r="23" spans="1:33">
      <c r="G23" s="71"/>
    </row>
    <row r="24" spans="1:33">
      <c r="G24" s="71"/>
    </row>
    <row r="25" spans="1:33">
      <c r="G25" s="71"/>
    </row>
    <row r="26" spans="1:33">
      <c r="G26" s="71"/>
    </row>
    <row r="27" spans="1:33">
      <c r="G27" s="71"/>
    </row>
    <row r="28" spans="1:33">
      <c r="G28" s="71"/>
    </row>
    <row r="29" spans="1:33">
      <c r="G29" s="71"/>
    </row>
    <row r="45" spans="1:4" hidden="1">
      <c r="A45" t="s">
        <v>129</v>
      </c>
    </row>
    <row r="46" spans="1:4" hidden="1"/>
    <row r="47" spans="1:4" hidden="1">
      <c r="A47" s="17"/>
      <c r="B47" s="17">
        <v>50000</v>
      </c>
      <c r="C47" s="17">
        <v>60000</v>
      </c>
      <c r="D47" s="17">
        <v>64000</v>
      </c>
    </row>
    <row r="48" spans="1:4" hidden="1">
      <c r="A48" s="17"/>
      <c r="B48" s="17">
        <v>55</v>
      </c>
      <c r="C48" s="17">
        <v>18</v>
      </c>
      <c r="D48" s="17">
        <v>0</v>
      </c>
    </row>
  </sheetData>
  <mergeCells count="4">
    <mergeCell ref="A1:B1"/>
    <mergeCell ref="B5:F6"/>
    <mergeCell ref="A14:F14"/>
    <mergeCell ref="A16:F16"/>
  </mergeCells>
  <pageMargins left="0.25" right="0.25" top="0.75" bottom="0.75" header="0.3" footer="0.3"/>
  <pageSetup paperSize="8" scale="5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Wykresy</vt:lpstr>
      </vt:variant>
      <vt:variant>
        <vt:i4>2</vt:i4>
      </vt:variant>
    </vt:vector>
  </HeadingPairs>
  <TitlesOfParts>
    <vt:vector size="10" baseType="lpstr">
      <vt:lpstr>Control</vt:lpstr>
      <vt:lpstr>quick_calc</vt:lpstr>
      <vt:lpstr>Dimensioning</vt:lpstr>
      <vt:lpstr>Coordinates</vt:lpstr>
      <vt:lpstr>ConstantSections</vt:lpstr>
      <vt:lpstr>Contraction</vt:lpstr>
      <vt:lpstr>Diffusers</vt:lpstr>
      <vt:lpstr>TOTAL_PLoss</vt:lpstr>
      <vt:lpstr>SectionsWT</vt:lpstr>
      <vt:lpstr>PressureLoss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Jarzabek</dc:creator>
  <cp:lastModifiedBy>Jan Gierszewski</cp:lastModifiedBy>
  <dcterms:created xsi:type="dcterms:W3CDTF">2023-12-06T22:06:20Z</dcterms:created>
  <dcterms:modified xsi:type="dcterms:W3CDTF">2024-10-26T13:45:38Z</dcterms:modified>
</cp:coreProperties>
</file>